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19\Documents\WaterUtilities\UtilityData\PA\data\Official_Statements\"/>
    </mc:Choice>
  </mc:AlternateContent>
  <bookViews>
    <workbookView xWindow="0" yWindow="0" windowWidth="20436" windowHeight="12156" firstSheet="14" activeTab="17"/>
  </bookViews>
  <sheets>
    <sheet name="notes" sheetId="17" r:id="rId1"/>
    <sheet name="basicInfo" sheetId="1" r:id="rId2"/>
    <sheet name="maturitySched" sheetId="2" r:id="rId3"/>
    <sheet name="bondPurpose" sheetId="5" r:id="rId4"/>
    <sheet name="otherDebt" sheetId="3" r:id="rId5"/>
    <sheet name="longTerm" sheetId="18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9" r:id="rId17"/>
    <sheet name="fiscal" sheetId="16" r:id="rId18"/>
    <sheet name="assets" sheetId="20" r:id="rId19"/>
    <sheet name="revCollect" sheetId="15" r:id="rId20"/>
  </sheets>
  <definedNames>
    <definedName name="_xlnm._FilterDatabase" localSheetId="16" hidden="1">rates!$A$1:$Q$139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82" i="16" l="1"/>
  <c r="AG81" i="16"/>
  <c r="AG80" i="16"/>
  <c r="AG73" i="16"/>
  <c r="AG70" i="16"/>
  <c r="AG71" i="16" s="1"/>
  <c r="AG49" i="16"/>
  <c r="AG86" i="20"/>
  <c r="AH86" i="20"/>
  <c r="AI86" i="20"/>
  <c r="AG84" i="20"/>
  <c r="AG78" i="20"/>
  <c r="AG77" i="20"/>
  <c r="AG74" i="20"/>
  <c r="AG73" i="20"/>
  <c r="AG65" i="20"/>
  <c r="AG66" i="20"/>
  <c r="AB61" i="20"/>
  <c r="AC61" i="20"/>
  <c r="AD61" i="20"/>
  <c r="AE61" i="20"/>
  <c r="AF61" i="20"/>
  <c r="AG58" i="20"/>
  <c r="AH82" i="16"/>
  <c r="AH81" i="16"/>
  <c r="AH80" i="16"/>
  <c r="AH75" i="16"/>
  <c r="AH71" i="16"/>
  <c r="AH49" i="16"/>
  <c r="AH84" i="20"/>
  <c r="AH77" i="20"/>
  <c r="AH78" i="20" s="1"/>
  <c r="AH73" i="20"/>
  <c r="AG61" i="20"/>
  <c r="AH59" i="20"/>
  <c r="AH61" i="20" s="1"/>
  <c r="AH66" i="20" s="1"/>
  <c r="AG52" i="20"/>
  <c r="AH52" i="20"/>
  <c r="AI80" i="16"/>
  <c r="AI81" i="16" s="1"/>
  <c r="AI82" i="16" s="1"/>
  <c r="AI75" i="16"/>
  <c r="AI71" i="16"/>
  <c r="AI49" i="16"/>
  <c r="AI84" i="20"/>
  <c r="AI73" i="20"/>
  <c r="AI78" i="20"/>
  <c r="AI77" i="20"/>
  <c r="AI66" i="20"/>
  <c r="AI59" i="20"/>
  <c r="AI52" i="20"/>
  <c r="AJ80" i="16"/>
  <c r="AJ81" i="16" s="1"/>
  <c r="AJ49" i="16"/>
  <c r="AJ71" i="16" s="1"/>
  <c r="AJ84" i="20"/>
  <c r="I84" i="20"/>
  <c r="AJ77" i="20"/>
  <c r="AJ67" i="20"/>
  <c r="AJ73" i="20" s="1"/>
  <c r="AJ78" i="20" s="1"/>
  <c r="AJ86" i="20" s="1"/>
  <c r="AJ59" i="20"/>
  <c r="AJ66" i="20"/>
  <c r="AJ52" i="20"/>
  <c r="J85" i="18"/>
  <c r="J86" i="18"/>
  <c r="J87" i="18"/>
  <c r="J88" i="18"/>
  <c r="J89" i="18"/>
  <c r="J90" i="18"/>
  <c r="J91" i="18"/>
  <c r="J92" i="18"/>
  <c r="H86" i="18"/>
  <c r="H87" i="18"/>
  <c r="H88" i="18"/>
  <c r="H89" i="18"/>
  <c r="H90" i="18"/>
  <c r="H91" i="18"/>
  <c r="H92" i="18"/>
  <c r="J84" i="18"/>
  <c r="H85" i="18"/>
  <c r="L118" i="14"/>
  <c r="L109" i="14"/>
  <c r="L110" i="14"/>
  <c r="L111" i="14"/>
  <c r="L112" i="14"/>
  <c r="L113" i="14"/>
  <c r="L114" i="14"/>
  <c r="L115" i="14"/>
  <c r="L116" i="14"/>
  <c r="L117" i="14"/>
  <c r="L108" i="14"/>
  <c r="I118" i="14"/>
  <c r="G24" i="15"/>
  <c r="G23" i="15"/>
  <c r="G22" i="15"/>
  <c r="G21" i="15"/>
  <c r="G20" i="15"/>
  <c r="L54" i="14"/>
  <c r="L55" i="14"/>
  <c r="L56" i="14"/>
  <c r="L57" i="14"/>
  <c r="L58" i="14"/>
  <c r="L59" i="14"/>
  <c r="L60" i="14"/>
  <c r="L61" i="14"/>
  <c r="L62" i="14"/>
  <c r="L63" i="14"/>
  <c r="L53" i="14"/>
  <c r="L87" i="14"/>
  <c r="L88" i="14"/>
  <c r="L89" i="14"/>
  <c r="L90" i="14"/>
  <c r="L91" i="14"/>
  <c r="L92" i="14"/>
  <c r="L93" i="14"/>
  <c r="L94" i="14"/>
  <c r="L95" i="14"/>
  <c r="L96" i="14"/>
  <c r="L86" i="14"/>
  <c r="L85" i="14"/>
  <c r="L107" i="14"/>
  <c r="L98" i="14"/>
  <c r="L99" i="14"/>
  <c r="L100" i="14"/>
  <c r="L101" i="14"/>
  <c r="L102" i="14"/>
  <c r="L103" i="14"/>
  <c r="L104" i="14"/>
  <c r="L105" i="14"/>
  <c r="L106" i="14"/>
  <c r="L97" i="14"/>
  <c r="I107" i="14"/>
  <c r="I96" i="14"/>
  <c r="V49" i="16"/>
  <c r="L77" i="14" s="1"/>
  <c r="V44" i="16"/>
  <c r="L76" i="14"/>
  <c r="L80" i="14"/>
  <c r="L81" i="14"/>
  <c r="L82" i="14"/>
  <c r="L83" i="14"/>
  <c r="L84" i="14"/>
  <c r="L75" i="14"/>
  <c r="I85" i="14"/>
  <c r="L65" i="14"/>
  <c r="L66" i="14"/>
  <c r="L67" i="14"/>
  <c r="L68" i="14"/>
  <c r="L69" i="14"/>
  <c r="L70" i="14"/>
  <c r="L71" i="14"/>
  <c r="L72" i="14"/>
  <c r="L73" i="14"/>
  <c r="L74" i="14"/>
  <c r="L64" i="14"/>
  <c r="I74" i="14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64" i="18"/>
  <c r="G13" i="15"/>
  <c r="G12" i="15"/>
  <c r="G11" i="15"/>
  <c r="G10" i="15"/>
  <c r="G9" i="15"/>
  <c r="I63" i="14"/>
  <c r="AJ82" i="16" l="1"/>
  <c r="L79" i="14"/>
  <c r="L78" i="14"/>
  <c r="J39" i="3"/>
  <c r="J7" i="7"/>
  <c r="K17" i="2"/>
  <c r="K18" i="2" s="1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38" i="18"/>
  <c r="AA7" i="16"/>
  <c r="I47" i="2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2" i="18"/>
  <c r="H23" i="18"/>
  <c r="H24" i="18"/>
  <c r="H25" i="18"/>
  <c r="H31" i="18"/>
  <c r="H32" i="18"/>
  <c r="H33" i="18"/>
  <c r="H17" i="18"/>
  <c r="G37" i="18"/>
  <c r="H37" i="18" s="1"/>
  <c r="G36" i="18"/>
  <c r="H36" i="18" s="1"/>
  <c r="G35" i="18"/>
  <c r="H35" i="18" s="1"/>
  <c r="G34" i="18"/>
  <c r="H34" i="18" s="1"/>
  <c r="G33" i="18"/>
  <c r="G32" i="18"/>
  <c r="G31" i="18"/>
  <c r="G30" i="18"/>
  <c r="H30" i="18" s="1"/>
  <c r="G29" i="18"/>
  <c r="H29" i="18" s="1"/>
  <c r="G28" i="18"/>
  <c r="H28" i="18" s="1"/>
  <c r="G27" i="18"/>
  <c r="H27" i="18" s="1"/>
  <c r="G26" i="18"/>
  <c r="H26" i="18" s="1"/>
  <c r="G25" i="18"/>
  <c r="G24" i="18"/>
  <c r="G23" i="18"/>
  <c r="G22" i="18"/>
  <c r="H22" i="18" s="1"/>
  <c r="G21" i="18"/>
  <c r="H21" i="18" s="1"/>
  <c r="G20" i="18"/>
  <c r="H20" i="18" s="1"/>
  <c r="G19" i="18"/>
  <c r="H19" i="18" s="1"/>
  <c r="G18" i="18"/>
  <c r="H18" i="18" s="1"/>
  <c r="H25" i="14"/>
  <c r="H24" i="14"/>
  <c r="H23" i="14"/>
  <c r="H22" i="14"/>
  <c r="H21" i="14"/>
  <c r="H20" i="14"/>
  <c r="H19" i="14"/>
  <c r="H18" i="14"/>
  <c r="H17" i="14"/>
  <c r="I6" i="10"/>
  <c r="G23" i="3"/>
  <c r="G22" i="3"/>
  <c r="AI7" i="16"/>
  <c r="AH7" i="16"/>
  <c r="AG28" i="16"/>
  <c r="AJ7" i="16" l="1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27" i="12"/>
  <c r="I3" i="12"/>
  <c r="I4" i="12"/>
  <c r="I5" i="12"/>
  <c r="I6" i="12"/>
  <c r="I7" i="12"/>
  <c r="I8" i="12"/>
  <c r="I9" i="12"/>
  <c r="I10" i="12"/>
  <c r="I11" i="12"/>
  <c r="I12" i="12"/>
  <c r="I13" i="12"/>
  <c r="I2" i="12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2" i="14"/>
  <c r="H15" i="14"/>
  <c r="K17" i="14"/>
  <c r="K18" i="14"/>
  <c r="K19" i="14"/>
  <c r="K20" i="14"/>
  <c r="K21" i="14"/>
  <c r="K22" i="14"/>
  <c r="K23" i="14"/>
  <c r="K24" i="14"/>
  <c r="K25" i="14"/>
  <c r="K16" i="14"/>
  <c r="H26" i="14"/>
  <c r="K26" i="14" s="1"/>
  <c r="K28" i="14"/>
  <c r="K29" i="14"/>
  <c r="K30" i="14"/>
  <c r="K31" i="14"/>
  <c r="K32" i="14"/>
  <c r="K33" i="14"/>
  <c r="K34" i="14"/>
  <c r="K35" i="14"/>
  <c r="K36" i="14"/>
  <c r="K37" i="14"/>
  <c r="K27" i="14"/>
  <c r="H37" i="14"/>
  <c r="K41" i="14"/>
  <c r="K42" i="14"/>
  <c r="K43" i="14"/>
  <c r="K44" i="14"/>
  <c r="K45" i="14"/>
  <c r="K46" i="14"/>
  <c r="K47" i="14"/>
  <c r="K48" i="14"/>
  <c r="K49" i="14"/>
  <c r="K50" i="14"/>
  <c r="K40" i="14"/>
  <c r="H50" i="14"/>
  <c r="AD85" i="16" l="1"/>
  <c r="AF83" i="16"/>
  <c r="AF85" i="16" s="1"/>
  <c r="AD80" i="16"/>
  <c r="AE80" i="16"/>
  <c r="AF80" i="16"/>
  <c r="AD81" i="16"/>
  <c r="AE81" i="16"/>
  <c r="AF81" i="16"/>
  <c r="AE85" i="16"/>
  <c r="AC85" i="16"/>
  <c r="AC80" i="16"/>
  <c r="AC81" i="16" s="1"/>
  <c r="AD70" i="16"/>
  <c r="AE70" i="16"/>
  <c r="AF70" i="16"/>
  <c r="AC70" i="16"/>
  <c r="AD49" i="16"/>
  <c r="AE49" i="16"/>
  <c r="AF49" i="16"/>
  <c r="AF71" i="16" s="1"/>
  <c r="AF82" i="16" s="1"/>
  <c r="AC49" i="16"/>
  <c r="Z85" i="16"/>
  <c r="AA85" i="16"/>
  <c r="Y85" i="16"/>
  <c r="Z81" i="16"/>
  <c r="Z80" i="16"/>
  <c r="AA80" i="16"/>
  <c r="AA81" i="16" s="1"/>
  <c r="Y80" i="16"/>
  <c r="Y81" i="16" s="1"/>
  <c r="Z70" i="16"/>
  <c r="AA70" i="16"/>
  <c r="Y70" i="16"/>
  <c r="Z49" i="16"/>
  <c r="AA49" i="16"/>
  <c r="Y49" i="16"/>
  <c r="S85" i="16"/>
  <c r="T85" i="16"/>
  <c r="U85" i="16"/>
  <c r="S70" i="16"/>
  <c r="T70" i="16"/>
  <c r="U70" i="16"/>
  <c r="S49" i="16"/>
  <c r="T49" i="16"/>
  <c r="U49" i="16"/>
  <c r="U71" i="16" s="1"/>
  <c r="Q85" i="16"/>
  <c r="R85" i="16"/>
  <c r="P85" i="16"/>
  <c r="Q70" i="16"/>
  <c r="R70" i="16"/>
  <c r="P70" i="16"/>
  <c r="Q49" i="16"/>
  <c r="R49" i="16"/>
  <c r="R71" i="16" s="1"/>
  <c r="P49" i="16"/>
  <c r="P71" i="16" s="1"/>
  <c r="I85" i="16"/>
  <c r="I70" i="16"/>
  <c r="I49" i="16"/>
  <c r="AC84" i="20"/>
  <c r="AD84" i="20"/>
  <c r="AE84" i="20"/>
  <c r="AF84" i="20"/>
  <c r="AB83" i="20"/>
  <c r="AB84" i="20" s="1"/>
  <c r="AC77" i="20"/>
  <c r="AD77" i="20"/>
  <c r="AE77" i="20"/>
  <c r="AF77" i="20"/>
  <c r="AB77" i="20"/>
  <c r="AC73" i="20"/>
  <c r="AC78" i="20" s="1"/>
  <c r="AC86" i="20" s="1"/>
  <c r="AD73" i="20"/>
  <c r="AE73" i="20"/>
  <c r="AF73" i="20"/>
  <c r="AB73" i="20"/>
  <c r="AC65" i="20"/>
  <c r="AD65" i="20"/>
  <c r="AE65" i="20"/>
  <c r="AF65" i="20"/>
  <c r="AB65" i="20"/>
  <c r="AC58" i="20"/>
  <c r="AD58" i="20"/>
  <c r="AE58" i="20"/>
  <c r="AF58" i="20"/>
  <c r="AB58" i="20"/>
  <c r="I52" i="20"/>
  <c r="AC52" i="20"/>
  <c r="AD52" i="20"/>
  <c r="AE52" i="20"/>
  <c r="AF52" i="20"/>
  <c r="AB52" i="20"/>
  <c r="I77" i="20"/>
  <c r="I73" i="20"/>
  <c r="I65" i="20"/>
  <c r="I61" i="20"/>
  <c r="I58" i="20"/>
  <c r="G19" i="15"/>
  <c r="G18" i="15"/>
  <c r="G17" i="15"/>
  <c r="G16" i="15"/>
  <c r="G15" i="15"/>
  <c r="G14" i="15"/>
  <c r="K134" i="2"/>
  <c r="K135" i="2" s="1"/>
  <c r="K136" i="2" s="1"/>
  <c r="K137" i="2" s="1"/>
  <c r="K138" i="2" s="1"/>
  <c r="K139" i="2" s="1"/>
  <c r="K140" i="2" s="1"/>
  <c r="K141" i="2" s="1"/>
  <c r="K142" i="2" s="1"/>
  <c r="K143" i="2" s="1"/>
  <c r="K121" i="2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04" i="2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84" i="2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72" i="2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G3" i="15"/>
  <c r="G2" i="15"/>
  <c r="AH44" i="20"/>
  <c r="AI44" i="20"/>
  <c r="AG44" i="20"/>
  <c r="AH36" i="20"/>
  <c r="AI36" i="20"/>
  <c r="AG36" i="20"/>
  <c r="AH30" i="20"/>
  <c r="AI30" i="20"/>
  <c r="AG30" i="20"/>
  <c r="AH13" i="20"/>
  <c r="AI13" i="20"/>
  <c r="AG13" i="20"/>
  <c r="AH17" i="20"/>
  <c r="AI17" i="20"/>
  <c r="AG17" i="20"/>
  <c r="AH10" i="20"/>
  <c r="AI10" i="20"/>
  <c r="AG10" i="20"/>
  <c r="Z44" i="20"/>
  <c r="AA44" i="20"/>
  <c r="Y44" i="20"/>
  <c r="Z30" i="20"/>
  <c r="Z36" i="20"/>
  <c r="AA36" i="20"/>
  <c r="Y36" i="20"/>
  <c r="AA30" i="20"/>
  <c r="Y30" i="20"/>
  <c r="Z20" i="20"/>
  <c r="AA20" i="20"/>
  <c r="Y20" i="20"/>
  <c r="Z17" i="20"/>
  <c r="AA17" i="20"/>
  <c r="Y17" i="20"/>
  <c r="Z13" i="20"/>
  <c r="AA13" i="20"/>
  <c r="Y13" i="20"/>
  <c r="Z10" i="20"/>
  <c r="AA10" i="20"/>
  <c r="Y10" i="20"/>
  <c r="S44" i="20"/>
  <c r="T44" i="20"/>
  <c r="R44" i="20"/>
  <c r="S36" i="20"/>
  <c r="T36" i="20"/>
  <c r="R36" i="20"/>
  <c r="S30" i="20"/>
  <c r="T30" i="20"/>
  <c r="R30" i="20"/>
  <c r="S20" i="20"/>
  <c r="T20" i="20"/>
  <c r="R20" i="20"/>
  <c r="S17" i="20"/>
  <c r="T17" i="20"/>
  <c r="R17" i="20"/>
  <c r="S13" i="20"/>
  <c r="T13" i="20"/>
  <c r="R13" i="20"/>
  <c r="S10" i="20"/>
  <c r="T10" i="20"/>
  <c r="R10" i="20"/>
  <c r="H44" i="20"/>
  <c r="I44" i="20"/>
  <c r="J44" i="20"/>
  <c r="K44" i="20"/>
  <c r="G44" i="20"/>
  <c r="H36" i="20"/>
  <c r="I36" i="20"/>
  <c r="J36" i="20"/>
  <c r="K36" i="20"/>
  <c r="G36" i="20"/>
  <c r="H30" i="20"/>
  <c r="I30" i="20"/>
  <c r="J30" i="20"/>
  <c r="K30" i="20"/>
  <c r="G30" i="20"/>
  <c r="H17" i="20"/>
  <c r="I17" i="20"/>
  <c r="J17" i="20"/>
  <c r="K17" i="20"/>
  <c r="G17" i="20"/>
  <c r="H13" i="20"/>
  <c r="I13" i="20"/>
  <c r="J13" i="20"/>
  <c r="K13" i="20"/>
  <c r="G13" i="20"/>
  <c r="H10" i="20"/>
  <c r="I10" i="20"/>
  <c r="J10" i="20"/>
  <c r="K10" i="20"/>
  <c r="G10" i="20"/>
  <c r="AH38" i="16"/>
  <c r="AG38" i="16"/>
  <c r="AH43" i="16"/>
  <c r="AI43" i="16"/>
  <c r="AG43" i="16"/>
  <c r="AI38" i="16"/>
  <c r="G38" i="16"/>
  <c r="Z43" i="16"/>
  <c r="AA43" i="16"/>
  <c r="Y43" i="16"/>
  <c r="Z38" i="16"/>
  <c r="AA38" i="16"/>
  <c r="Y38" i="16"/>
  <c r="Y28" i="16"/>
  <c r="T43" i="16"/>
  <c r="S43" i="16"/>
  <c r="R43" i="16"/>
  <c r="K38" i="16"/>
  <c r="J38" i="16"/>
  <c r="I38" i="16"/>
  <c r="H38" i="16"/>
  <c r="AB78" i="20" l="1"/>
  <c r="AF78" i="20"/>
  <c r="AE78" i="20"/>
  <c r="AE86" i="20" s="1"/>
  <c r="AD78" i="20"/>
  <c r="AD86" i="20" s="1"/>
  <c r="AB86" i="20"/>
  <c r="AF86" i="20"/>
  <c r="AF66" i="20"/>
  <c r="T71" i="16"/>
  <c r="AE71" i="16"/>
  <c r="AE82" i="16" s="1"/>
  <c r="AD71" i="16"/>
  <c r="AD82" i="16" s="1"/>
  <c r="AC82" i="16"/>
  <c r="I71" i="16"/>
  <c r="Y71" i="16"/>
  <c r="Y82" i="16" s="1"/>
  <c r="S71" i="16"/>
  <c r="AC71" i="16"/>
  <c r="AA71" i="16"/>
  <c r="AA82" i="16" s="1"/>
  <c r="Q71" i="16"/>
  <c r="Z71" i="16"/>
  <c r="Z82" i="16" s="1"/>
  <c r="AE66" i="20"/>
  <c r="AD66" i="20"/>
  <c r="AB66" i="20"/>
  <c r="AC66" i="20"/>
  <c r="I66" i="20"/>
  <c r="AI21" i="20"/>
  <c r="I78" i="20"/>
  <c r="I86" i="20" s="1"/>
  <c r="AH37" i="20"/>
  <c r="AH46" i="20" s="1"/>
  <c r="AH21" i="20"/>
  <c r="AI37" i="20"/>
  <c r="AI46" i="20" s="1"/>
  <c r="Y37" i="20"/>
  <c r="Y46" i="20" s="1"/>
  <c r="K37" i="20"/>
  <c r="K46" i="20" s="1"/>
  <c r="AA37" i="20"/>
  <c r="AA46" i="20" s="1"/>
  <c r="AG21" i="20"/>
  <c r="AG37" i="20"/>
  <c r="AG46" i="20" s="1"/>
  <c r="S37" i="20"/>
  <c r="S46" i="20" s="1"/>
  <c r="Z37" i="20"/>
  <c r="Z46" i="20" s="1"/>
  <c r="I37" i="20"/>
  <c r="I46" i="20" s="1"/>
  <c r="Z21" i="20"/>
  <c r="G21" i="20"/>
  <c r="R37" i="20"/>
  <c r="R46" i="20" s="1"/>
  <c r="I21" i="20"/>
  <c r="T37" i="20"/>
  <c r="T46" i="20" s="1"/>
  <c r="H21" i="20"/>
  <c r="S21" i="20"/>
  <c r="Y21" i="20"/>
  <c r="AA21" i="20"/>
  <c r="R21" i="20"/>
  <c r="J21" i="20"/>
  <c r="K21" i="20"/>
  <c r="T21" i="20"/>
  <c r="J37" i="20"/>
  <c r="J46" i="20" s="1"/>
  <c r="G37" i="20"/>
  <c r="G46" i="20" s="1"/>
  <c r="H37" i="20"/>
  <c r="H46" i="20" s="1"/>
  <c r="K58" i="2" l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38" i="2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19" i="2"/>
  <c r="K20" i="2" s="1"/>
  <c r="K21" i="2" s="1"/>
  <c r="K22" i="2" s="1"/>
  <c r="K23" i="2" s="1"/>
  <c r="K24" i="2" s="1"/>
  <c r="K25" i="2" s="1"/>
  <c r="K26" i="2" s="1"/>
  <c r="K27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28" i="2" l="1"/>
  <c r="K29" i="2" s="1"/>
  <c r="K30" i="2" s="1"/>
  <c r="K31" i="2" s="1"/>
  <c r="K32" i="2" s="1"/>
  <c r="K33" i="2" s="1"/>
  <c r="K34" i="2" s="1"/>
  <c r="K35" i="2" s="1"/>
  <c r="K36" i="2" s="1"/>
  <c r="K37" i="2" s="1"/>
  <c r="AJ28" i="16"/>
  <c r="AJ9" i="16"/>
  <c r="AJ29" i="16" l="1"/>
  <c r="AJ38" i="16" s="1"/>
  <c r="G9" i="16"/>
  <c r="H9" i="16"/>
  <c r="I9" i="16"/>
  <c r="J9" i="16"/>
  <c r="K9" i="16"/>
  <c r="R9" i="16"/>
  <c r="S9" i="16"/>
  <c r="T9" i="16"/>
  <c r="AB9" i="16"/>
  <c r="AC9" i="16"/>
  <c r="AD9" i="16"/>
  <c r="AE9" i="16"/>
  <c r="AF9" i="16"/>
  <c r="G28" i="16"/>
  <c r="H28" i="16"/>
  <c r="I28" i="16"/>
  <c r="J28" i="16"/>
  <c r="K28" i="16"/>
  <c r="R28" i="16"/>
  <c r="S28" i="16"/>
  <c r="T28" i="16"/>
  <c r="Z28" i="16"/>
  <c r="AA28" i="16"/>
  <c r="AB28" i="16"/>
  <c r="AC28" i="16"/>
  <c r="AD28" i="16"/>
  <c r="AE28" i="16"/>
  <c r="AF28" i="16"/>
  <c r="AH28" i="16"/>
  <c r="AI28" i="16"/>
  <c r="I29" i="16" l="1"/>
  <c r="I40" i="16" s="1"/>
  <c r="S29" i="16"/>
  <c r="S40" i="16" s="1"/>
  <c r="AA29" i="16"/>
  <c r="AA40" i="16" s="1"/>
  <c r="K29" i="16"/>
  <c r="K40" i="16" s="1"/>
  <c r="AG29" i="16"/>
  <c r="AG40" i="16" s="1"/>
  <c r="Y29" i="16"/>
  <c r="Y40" i="16" s="1"/>
  <c r="AH29" i="16"/>
  <c r="AH40" i="16" s="1"/>
  <c r="AD29" i="16"/>
  <c r="AD38" i="16" s="1"/>
  <c r="R29" i="16"/>
  <c r="R40" i="16" s="1"/>
  <c r="AC29" i="16"/>
  <c r="AC38" i="16" s="1"/>
  <c r="AE29" i="16"/>
  <c r="AE38" i="16" s="1"/>
  <c r="G29" i="16"/>
  <c r="G40" i="16" s="1"/>
  <c r="AB29" i="16"/>
  <c r="AB38" i="16" s="1"/>
  <c r="T29" i="16"/>
  <c r="T40" i="16" s="1"/>
  <c r="Z29" i="16"/>
  <c r="Z40" i="16" s="1"/>
  <c r="J29" i="16"/>
  <c r="J40" i="16" s="1"/>
  <c r="AF29" i="16"/>
  <c r="AF38" i="16" s="1"/>
  <c r="H29" i="16"/>
  <c r="H40" i="16" s="1"/>
  <c r="AI29" i="16"/>
  <c r="AI40" i="16" s="1"/>
</calcChain>
</file>

<file path=xl/sharedStrings.xml><?xml version="1.0" encoding="utf-8"?>
<sst xmlns="http://schemas.openxmlformats.org/spreadsheetml/2006/main" count="7091" uniqueCount="618">
  <si>
    <t>PWSID</t>
  </si>
  <si>
    <t>Name</t>
  </si>
  <si>
    <t>OSYear</t>
  </si>
  <si>
    <t>amount</t>
  </si>
  <si>
    <t>startYear</t>
  </si>
  <si>
    <t>endYear</t>
  </si>
  <si>
    <t>aveRate</t>
  </si>
  <si>
    <t>currentRemaining</t>
  </si>
  <si>
    <t>payments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</si>
  <si>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</si>
  <si>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</si>
  <si>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</si>
  <si>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</si>
  <si>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</si>
  <si>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</si>
  <si>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</si>
  <si>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</si>
  <si>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</si>
  <si>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</si>
  <si>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</si>
  <si>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</si>
  <si>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</si>
  <si>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</si>
  <si>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</si>
  <si>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</si>
  <si>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</si>
  <si>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</si>
  <si>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</si>
  <si>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</si>
  <si>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</si>
  <si>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</si>
  <si>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</si>
  <si>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</si>
  <si>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</si>
  <si>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</si>
  <si>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</si>
  <si>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Category</t>
  </si>
  <si>
    <t>SubCategory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</si>
  <si>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</si>
  <si>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</si>
  <si>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</si>
  <si>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</si>
  <si>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</si>
  <si>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</si>
  <si>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</si>
  <si>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</si>
  <si>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</si>
  <si>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</si>
  <si>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</si>
  <si>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</si>
  <si>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</si>
  <si>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</si>
  <si>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</si>
  <si>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</si>
  <si>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</si>
  <si>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</si>
  <si>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</si>
  <si>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</si>
  <si>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</si>
  <si>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</si>
  <si>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</si>
  <si>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</si>
  <si>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</si>
  <si>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</si>
  <si>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</si>
  <si>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</si>
  <si>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</si>
  <si>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</si>
  <si>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</si>
  <si>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Total Operating Revenues</t>
  </si>
  <si>
    <t>Expenses</t>
  </si>
  <si>
    <t>Total Operating Expenses</t>
  </si>
  <si>
    <t>Other Income and (Expense)</t>
  </si>
  <si>
    <t>Revenue - Expense</t>
  </si>
  <si>
    <t>Total Other Income and Expenses</t>
  </si>
  <si>
    <t>Total nonoperating revenue and expenses</t>
  </si>
  <si>
    <t>Total Nonoperating Revenues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</si>
  <si>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</si>
  <si>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</si>
  <si>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</si>
  <si>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</si>
  <si>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</si>
  <si>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y2018</t>
  </si>
  <si>
    <t>Put any interesting about utility development, finances, etc. here</t>
  </si>
  <si>
    <t>document</t>
  </si>
  <si>
    <t>page</t>
  </si>
  <si>
    <t>description</t>
  </si>
  <si>
    <t>Also list the document and page number of interesting information so we can find it later.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</si>
  <si>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</si>
  <si>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</si>
  <si>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</si>
  <si>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</si>
  <si>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</si>
  <si>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</si>
  <si>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</si>
  <si>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</si>
  <si>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</si>
  <si>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</si>
  <si>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</si>
  <si>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</si>
  <si>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</si>
  <si>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</si>
  <si>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</si>
  <si>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</si>
  <si>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</si>
  <si>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</si>
  <si>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</si>
  <si>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</si>
  <si>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</si>
  <si>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</si>
  <si>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</si>
  <si>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netIncome</t>
  </si>
  <si>
    <t>surplus</t>
  </si>
  <si>
    <t>principalInterest</t>
  </si>
  <si>
    <t>debtServCovNet</t>
  </si>
  <si>
    <t>debtServCovTotal</t>
  </si>
  <si>
    <t>principal</t>
  </si>
  <si>
    <t>total</t>
  </si>
  <si>
    <t>otherDebt</t>
  </si>
  <si>
    <t>totalDebtService</t>
  </si>
  <si>
    <t>members</t>
  </si>
  <si>
    <t>office</t>
  </si>
  <si>
    <t>termExpire</t>
  </si>
  <si>
    <t>municipality</t>
  </si>
  <si>
    <t>taxingPower</t>
  </si>
  <si>
    <t>areaMi2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</si>
  <si>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</si>
  <si>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</si>
  <si>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</si>
  <si>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</si>
  <si>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</si>
  <si>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</si>
  <si>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</si>
  <si>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</si>
  <si>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groupBy</t>
  </si>
  <si>
    <t>class</t>
  </si>
  <si>
    <t>tier</t>
  </si>
  <si>
    <t>location</t>
  </si>
  <si>
    <t>volume_MGD</t>
  </si>
  <si>
    <t>annual_MG</t>
  </si>
  <si>
    <t>grossPercent</t>
  </si>
  <si>
    <t>adjustedPercent</t>
  </si>
  <si>
    <t>method</t>
  </si>
  <si>
    <t>customer</t>
  </si>
  <si>
    <t>gallons</t>
  </si>
  <si>
    <t>revenue</t>
  </si>
  <si>
    <t>percentGal</t>
  </si>
  <si>
    <t>percentRev</t>
  </si>
  <si>
    <t>rateYear</t>
  </si>
  <si>
    <t>yearSet</t>
  </si>
  <si>
    <t>billFrequency</t>
  </si>
  <si>
    <t>charges</t>
  </si>
  <si>
    <t>chargeType</t>
  </si>
  <si>
    <t>classUnit</t>
  </si>
  <si>
    <t>cost</t>
  </si>
  <si>
    <t>costUnit</t>
  </si>
  <si>
    <t>uncollected</t>
  </si>
  <si>
    <t>percentCollected</t>
  </si>
  <si>
    <t>dateOffline</t>
  </si>
  <si>
    <t>Current Assets</t>
  </si>
  <si>
    <t>Restricted Assets</t>
  </si>
  <si>
    <t>Fixed Assets</t>
  </si>
  <si>
    <t>Other Assets</t>
  </si>
  <si>
    <t>Total Assets</t>
  </si>
  <si>
    <t>Current Liabilities</t>
  </si>
  <si>
    <t>Longterm Liabilities</t>
  </si>
  <si>
    <t>Total Liabilities</t>
  </si>
  <si>
    <t>Fund Equity</t>
  </si>
  <si>
    <t>Total Liabilities and Fund Equity</t>
  </si>
  <si>
    <t>Deferred</t>
  </si>
  <si>
    <t>rateCovenantCurrent</t>
  </si>
  <si>
    <t>rateCovenantTotal</t>
  </si>
  <si>
    <t>debtSRF</t>
  </si>
  <si>
    <t>ratesApproval</t>
  </si>
  <si>
    <t>openLoop</t>
  </si>
  <si>
    <t>otherClass</t>
  </si>
  <si>
    <t>peak_MGD</t>
  </si>
  <si>
    <t>percentUse</t>
  </si>
  <si>
    <t>SKIP FOR NOW</t>
  </si>
  <si>
    <t>included</t>
  </si>
  <si>
    <t>inclUnit</t>
  </si>
  <si>
    <t>PA6240016</t>
  </si>
  <si>
    <t>St. Marys</t>
  </si>
  <si>
    <t>Water</t>
  </si>
  <si>
    <t>Aaa</t>
  </si>
  <si>
    <t>AAA</t>
  </si>
  <si>
    <t>Maximum annual debt service requirement</t>
  </si>
  <si>
    <t>No</t>
  </si>
  <si>
    <t>Financial Guaranty Insurance Company</t>
  </si>
  <si>
    <t>Semi-annual</t>
  </si>
  <si>
    <t>A</t>
  </si>
  <si>
    <t>Financial Security Assurance Inc.</t>
  </si>
  <si>
    <t>BBB+</t>
  </si>
  <si>
    <t>AA+</t>
  </si>
  <si>
    <t>NA</t>
  </si>
  <si>
    <t>Municipal Assurance Corporation</t>
  </si>
  <si>
    <t>Maturity schedule</t>
  </si>
  <si>
    <t>February</t>
  </si>
  <si>
    <t>June</t>
  </si>
  <si>
    <t>October</t>
  </si>
  <si>
    <t>December</t>
  </si>
  <si>
    <t>Accured interest</t>
  </si>
  <si>
    <t>Capital project fund deposit</t>
  </si>
  <si>
    <t>Debt service reserve fund</t>
  </si>
  <si>
    <t>Cost of issuance</t>
  </si>
  <si>
    <t>Miscellaneous</t>
  </si>
  <si>
    <t>Bond</t>
  </si>
  <si>
    <t>Water revenue bonds, series of 1969</t>
  </si>
  <si>
    <t>Water revenue bonds, series of 1970</t>
  </si>
  <si>
    <t>Water revenue bonds, series of 1994</t>
  </si>
  <si>
    <t>Water revenue bonds, series of 2003</t>
  </si>
  <si>
    <t>Water revenue bonds, series of 2010</t>
  </si>
  <si>
    <t>Chairman</t>
  </si>
  <si>
    <t>Vice Chairman</t>
  </si>
  <si>
    <t>Secretary</t>
  </si>
  <si>
    <t>Treasurer</t>
  </si>
  <si>
    <t>Member</t>
  </si>
  <si>
    <t>Non-voting officers of the authority board</t>
  </si>
  <si>
    <t>Assistant Secretary</t>
  </si>
  <si>
    <t>Assistant Treasurer</t>
  </si>
  <si>
    <t>Paul E. McIntosh</t>
  </si>
  <si>
    <t>Assitant Secretary/Treasurer</t>
  </si>
  <si>
    <t>Non voting board member</t>
  </si>
  <si>
    <t>Randy Gradizzi</t>
  </si>
  <si>
    <t>Michael Engle</t>
  </si>
  <si>
    <t>Assitant Treasurer</t>
  </si>
  <si>
    <t>Authority</t>
  </si>
  <si>
    <t>Elk</t>
  </si>
  <si>
    <t>St. Mary</t>
  </si>
  <si>
    <t>City</t>
  </si>
  <si>
    <t>Fox</t>
  </si>
  <si>
    <t>Township</t>
  </si>
  <si>
    <t>Jay</t>
  </si>
  <si>
    <t>a minute portion</t>
  </si>
  <si>
    <t>small portions</t>
  </si>
  <si>
    <t>PA6240017</t>
  </si>
  <si>
    <t>PA6240018</t>
  </si>
  <si>
    <t>Surface</t>
  </si>
  <si>
    <t>Reservoir</t>
  </si>
  <si>
    <t>Laurel Run</t>
  </si>
  <si>
    <t>Customer</t>
  </si>
  <si>
    <t>Residential</t>
  </si>
  <si>
    <t>Commercial/Institutional</t>
  </si>
  <si>
    <t>Total</t>
  </si>
  <si>
    <t>The larger than normal increase in the number of customers is due mostly to the Authority's change in policy regarding allowance for vacancy.</t>
  </si>
  <si>
    <t>Entire</t>
  </si>
  <si>
    <t>Industrial</t>
  </si>
  <si>
    <t>Metered Consumption</t>
  </si>
  <si>
    <t>Capacity</t>
  </si>
  <si>
    <t>Volume_MGD is calculated from annual_MG by dividing the total volume by 365</t>
  </si>
  <si>
    <t>Carbide/Graphite Group</t>
  </si>
  <si>
    <t>Pure Carbon Company</t>
  </si>
  <si>
    <t>Stackpole Corporation</t>
  </si>
  <si>
    <t>Keystone Carbon Co., State St.</t>
  </si>
  <si>
    <t>Carbone</t>
  </si>
  <si>
    <t>IG Industries</t>
  </si>
  <si>
    <t>Straub Brewery</t>
  </si>
  <si>
    <t>Keystone Carbon Co., Windfall Road</t>
  </si>
  <si>
    <t>Windfall Products</t>
  </si>
  <si>
    <t>Advanced Heat Treating</t>
  </si>
  <si>
    <t>St. Marys Carbon Co.</t>
  </si>
  <si>
    <t>Manufacturing</t>
  </si>
  <si>
    <t>OSRAM-GTE Sylvania, Inc.</t>
  </si>
  <si>
    <t>Brewery</t>
  </si>
  <si>
    <t>Elite Metal Products</t>
  </si>
  <si>
    <t>MG Industries</t>
  </si>
  <si>
    <t>Carbone of America</t>
  </si>
  <si>
    <t>GE Thermometrics</t>
  </si>
  <si>
    <t>Keystone Carbon Co.</t>
  </si>
  <si>
    <t>Staub Brewery</t>
  </si>
  <si>
    <t>Windfall Road Windfall Products</t>
  </si>
  <si>
    <t>Metaldyne</t>
  </si>
  <si>
    <t>C/G Electrodes LLC</t>
  </si>
  <si>
    <t>SGL Carbon</t>
  </si>
  <si>
    <t>Osram Sylvania Products Inc.</t>
  </si>
  <si>
    <t>Keystone Powdered Metal</t>
  </si>
  <si>
    <t>Elk Regional Health Center</t>
  </si>
  <si>
    <t>Medical Service</t>
  </si>
  <si>
    <t>Staub Brewery Inc.</t>
  </si>
  <si>
    <t>Matheson Tri Gas</t>
  </si>
  <si>
    <t>Morgan AM&amp;T</t>
  </si>
  <si>
    <t>Mersen</t>
  </si>
  <si>
    <t>Sigri Carbon</t>
  </si>
  <si>
    <t>Fox Township (Toby Water)</t>
  </si>
  <si>
    <t>Ledvance</t>
  </si>
  <si>
    <t>Graftech</t>
  </si>
  <si>
    <t>Municipality</t>
  </si>
  <si>
    <t>Quarterly</t>
  </si>
  <si>
    <t>Flat Charges</t>
  </si>
  <si>
    <t>Meter Size</t>
  </si>
  <si>
    <t>Inches</t>
  </si>
  <si>
    <t>Displacement</t>
  </si>
  <si>
    <t>Compound</t>
  </si>
  <si>
    <t>Turbine</t>
  </si>
  <si>
    <t>Displacement or Compound</t>
  </si>
  <si>
    <t>Flat Fee</t>
  </si>
  <si>
    <t>Consumption Charges</t>
  </si>
  <si>
    <t>Volume</t>
  </si>
  <si>
    <t>Gallons</t>
  </si>
  <si>
    <t>First 30000</t>
  </si>
  <si>
    <t>Over 330000</t>
  </si>
  <si>
    <t>First three pumpings</t>
  </si>
  <si>
    <t>Beyond fourth pumpings</t>
  </si>
  <si>
    <t>First 30001</t>
  </si>
  <si>
    <t>Over 330001</t>
  </si>
  <si>
    <t>Per thousand gallons</t>
  </si>
  <si>
    <t>Unmetered Service</t>
  </si>
  <si>
    <t>Other special connections for fire protection</t>
  </si>
  <si>
    <t>Per outlet</t>
  </si>
  <si>
    <t>Use of hydrants or unmetered connections for water usage other than fires</t>
  </si>
  <si>
    <t>Fire hydrants</t>
  </si>
  <si>
    <t>Per annum</t>
  </si>
  <si>
    <t>Per occasion if less than one hour, or per hour of usage</t>
  </si>
  <si>
    <t>Private fire hydrants</t>
  </si>
  <si>
    <t>Sprinkler heads</t>
  </si>
  <si>
    <t>First 750 sprinkler heads</t>
  </si>
  <si>
    <t>All over 750 sprinkler heads</t>
  </si>
  <si>
    <t>Public fire hydrants</t>
  </si>
  <si>
    <t>Other</t>
  </si>
  <si>
    <t>Production</t>
  </si>
  <si>
    <t>Distribution</t>
  </si>
  <si>
    <t xml:space="preserve">Commercial </t>
  </si>
  <si>
    <t xml:space="preserve">Industrial </t>
  </si>
  <si>
    <t>Penalties</t>
  </si>
  <si>
    <t>Operating</t>
  </si>
  <si>
    <t>Miscellaneous charges to customers</t>
  </si>
  <si>
    <t>Other net income (expense)</t>
  </si>
  <si>
    <t>Salaries and wages</t>
  </si>
  <si>
    <t>Supplies</t>
  </si>
  <si>
    <t>Maintenance - structures and equipment</t>
  </si>
  <si>
    <t>Utilities</t>
  </si>
  <si>
    <t>Fuel</t>
  </si>
  <si>
    <t>Office supplies</t>
  </si>
  <si>
    <t>Employee benefits</t>
  </si>
  <si>
    <t>Professional fees</t>
  </si>
  <si>
    <t>Automobile and travel</t>
  </si>
  <si>
    <t>Insurance</t>
  </si>
  <si>
    <t>Depreciation</t>
  </si>
  <si>
    <t>Interest earnings</t>
  </si>
  <si>
    <t>Expiration of main agreements</t>
  </si>
  <si>
    <t>Gain on asset impairment</t>
  </si>
  <si>
    <t>Timber sales</t>
  </si>
  <si>
    <t>Amortization expense</t>
  </si>
  <si>
    <t>Interest expense</t>
  </si>
  <si>
    <t>Salaries</t>
  </si>
  <si>
    <t>Interest</t>
  </si>
  <si>
    <t>--</t>
  </si>
  <si>
    <t>Utility plant</t>
  </si>
  <si>
    <t>Initial construction project</t>
  </si>
  <si>
    <t>Construction in progress</t>
  </si>
  <si>
    <t>Total funds held by trustee</t>
  </si>
  <si>
    <t>Operating funds</t>
  </si>
  <si>
    <t>Water revenue bonds - 1969</t>
  </si>
  <si>
    <t>Water revenue bonds - 1970A</t>
  </si>
  <si>
    <t>Accounts payable</t>
  </si>
  <si>
    <t>Accured payroll</t>
  </si>
  <si>
    <t>Customer deposits</t>
  </si>
  <si>
    <t>Payroll taxes</t>
  </si>
  <si>
    <t>PENNVEST loan payable</t>
  </si>
  <si>
    <t>Bank loan payable</t>
  </si>
  <si>
    <t>Contributions-in-aid of construction</t>
  </si>
  <si>
    <t>Beginning balance</t>
  </si>
  <si>
    <t>Net income from operations</t>
  </si>
  <si>
    <t>Accumulated depreciation</t>
  </si>
  <si>
    <t>Cash</t>
  </si>
  <si>
    <t>Accounts receivable</t>
  </si>
  <si>
    <t>Inventory</t>
  </si>
  <si>
    <t>Prepaid expenses</t>
  </si>
  <si>
    <t>Deferred charges</t>
  </si>
  <si>
    <t>General obligation bonds payable</t>
  </si>
  <si>
    <t>Retained earnings</t>
  </si>
  <si>
    <t>Investments (held by trustees)</t>
  </si>
  <si>
    <t>Property, plant and equipment</t>
  </si>
  <si>
    <t>Accured payroll and payroll taxes payable</t>
  </si>
  <si>
    <t>Accured interest payable</t>
  </si>
  <si>
    <t>Current portion, long-term debt</t>
  </si>
  <si>
    <t>Long-term debt, net of current portion</t>
  </si>
  <si>
    <t>Unrestricted</t>
  </si>
  <si>
    <t>Capital assets</t>
  </si>
  <si>
    <t>Invested in capital assets, net of related debt</t>
  </si>
  <si>
    <t>Most of the largest water customers along the years are in the cabon manufacturing industry</t>
  </si>
  <si>
    <t>Sewer</t>
  </si>
  <si>
    <t>A+</t>
  </si>
  <si>
    <t>AMBAC</t>
  </si>
  <si>
    <t>MBIA</t>
  </si>
  <si>
    <t>Assured Guaranty Corp.</t>
  </si>
  <si>
    <t>Equal to maximum annual debt service on the 2002 bonds</t>
  </si>
  <si>
    <t>Costs of issuance</t>
  </si>
  <si>
    <t>Original issue discount</t>
  </si>
  <si>
    <t>Deposit to the debt service fund</t>
  </si>
  <si>
    <t>Guaranteed sewer revenue bonds, series of 2010</t>
  </si>
  <si>
    <t>Pennvest Loan</t>
  </si>
  <si>
    <t>Richard Meier</t>
  </si>
  <si>
    <t>Joseph Wortman</t>
  </si>
  <si>
    <t>Gus Boschert</t>
  </si>
  <si>
    <t>Shirley Nicklas</t>
  </si>
  <si>
    <t>Edna VanDerlin</t>
  </si>
  <si>
    <t>Gabe Uljon</t>
  </si>
  <si>
    <t>Sharon Brem</t>
  </si>
  <si>
    <t>Nancy Pistner</t>
  </si>
  <si>
    <t>Joseph Goetz</t>
  </si>
  <si>
    <t>John Dacanal</t>
  </si>
  <si>
    <t>Thaddeus Sorg</t>
  </si>
  <si>
    <t>Thad Sorg</t>
  </si>
  <si>
    <t>Robert Bauer</t>
  </si>
  <si>
    <t>Joseph Daghir</t>
  </si>
  <si>
    <t>Mark Kopp</t>
  </si>
  <si>
    <t>Secretary/Treasurer</t>
  </si>
  <si>
    <t>Kenneth Gabler</t>
  </si>
  <si>
    <t>Michael Haines</t>
  </si>
  <si>
    <t>Derek Wolfanger</t>
  </si>
  <si>
    <t>Institutional</t>
  </si>
  <si>
    <t>Commercial/Industrial</t>
  </si>
  <si>
    <t>The number seems really small, maybe they left out "in thousand gallons" in the document?</t>
  </si>
  <si>
    <t>Carbide Graphite Group, Inc.</t>
  </si>
  <si>
    <t>SGL Carbon Corp.</t>
  </si>
  <si>
    <t>Morgan Advanced Management</t>
  </si>
  <si>
    <t>Carbone of America Industries</t>
  </si>
  <si>
    <t>Elk Haven Nursing Home</t>
  </si>
  <si>
    <t>SGL Carbon LLC</t>
  </si>
  <si>
    <t>The Hall Corporation</t>
  </si>
  <si>
    <t>Keystone Thermometrics</t>
  </si>
  <si>
    <t>Carbide Grahite Landfill</t>
  </si>
  <si>
    <t>Metaldyne Corporation</t>
  </si>
  <si>
    <t>Estimated collections</t>
  </si>
  <si>
    <t>Landfill</t>
  </si>
  <si>
    <t>School</t>
  </si>
  <si>
    <t>The Hill Corporation</t>
  </si>
  <si>
    <t>OSRAM Sylvania</t>
  </si>
  <si>
    <t>Saint Marys Area School</t>
  </si>
  <si>
    <t>Mersen USA</t>
  </si>
  <si>
    <t>Graftech USA</t>
  </si>
  <si>
    <t>Pinecrest Manor</t>
  </si>
  <si>
    <t>Saint Marys Area School District</t>
  </si>
  <si>
    <t>Monthly</t>
  </si>
  <si>
    <t>Per meter</t>
  </si>
  <si>
    <t>First 110000</t>
  </si>
  <si>
    <t>Over 110000</t>
  </si>
  <si>
    <t>Next 1000000 and up</t>
  </si>
  <si>
    <t>Should it be "First 0 to 10000"?</t>
  </si>
  <si>
    <t>Next 10001 to 50000</t>
  </si>
  <si>
    <t>Next 50001 to 999000</t>
  </si>
  <si>
    <t>Cash and cash equivalents in custody of Authority</t>
  </si>
  <si>
    <t>Cash and cash equivalents in custody of Trustee</t>
  </si>
  <si>
    <t>Investments in custody of Trustee</t>
  </si>
  <si>
    <t>Advanced to borough sewer revenue fund</t>
  </si>
  <si>
    <t>Sewage treatment plant and equipment</t>
  </si>
  <si>
    <t>Capital contributed - federal agencies</t>
  </si>
  <si>
    <t>Cash and cash equivalents</t>
  </si>
  <si>
    <t>Due from other governments</t>
  </si>
  <si>
    <t>Restricted cash and cash equivalents</t>
  </si>
  <si>
    <t>Other assets</t>
  </si>
  <si>
    <t>Deferred amount on refunding</t>
  </si>
  <si>
    <t>Payroll taxes payable</t>
  </si>
  <si>
    <t>Current portion of noncurrent liabilities</t>
  </si>
  <si>
    <t>Notes payable - PENNVEST</t>
  </si>
  <si>
    <t>Restricted for debt service</t>
  </si>
  <si>
    <t>Rental income</t>
  </si>
  <si>
    <t>Legal and accounting</t>
  </si>
  <si>
    <t xml:space="preserve">Engineering </t>
  </si>
  <si>
    <t>Office expense</t>
  </si>
  <si>
    <t>Dues</t>
  </si>
  <si>
    <t>Advertising</t>
  </si>
  <si>
    <t>Director fees</t>
  </si>
  <si>
    <t>Legal and professional</t>
  </si>
  <si>
    <t>Trustee fees</t>
  </si>
  <si>
    <t>Grants</t>
  </si>
  <si>
    <t>Amortization of bond issuance costs</t>
  </si>
  <si>
    <t>Personal services</t>
  </si>
  <si>
    <t>Other supplies and expenses</t>
  </si>
  <si>
    <t>Repairs and maintenance</t>
  </si>
  <si>
    <t>Interest income</t>
  </si>
  <si>
    <t>Contractual services</t>
  </si>
  <si>
    <t>Capital contributions to City of St. Marys</t>
  </si>
  <si>
    <t>Yearly</t>
  </si>
  <si>
    <t>Modern Filtration Plant</t>
  </si>
  <si>
    <t>WTP</t>
  </si>
  <si>
    <t>5 MGD</t>
  </si>
  <si>
    <t>Purchased the Kersey Water System from the Fox Township Water and Sewer Authority for 74,500 - paid for by surplus funds over 5 years. The Kersey system had been purchasing water from St. Mayrs Water Company prior to acquisition by the Authority because of inadequate service from Kersey</t>
  </si>
  <si>
    <t>Treated Water</t>
  </si>
  <si>
    <t>Calculated using Engineering report total pumpage</t>
  </si>
  <si>
    <t>Eng Report</t>
  </si>
  <si>
    <t>30,001-330,000</t>
  </si>
  <si>
    <t>All</t>
  </si>
  <si>
    <t>Debt Service</t>
  </si>
  <si>
    <t>Rate Covenant</t>
  </si>
  <si>
    <t>Municipal Water</t>
  </si>
  <si>
    <t>St Mary Official Statement 2017</t>
  </si>
  <si>
    <t>Municipal water is the bulk sale to the Toby Water System. Toby Water was deactivated in Dec 2014 after failing a Filter Plant Performance Evaluation by DEP. They sales are excptected to remain active until Toy Water repairs their plant (2017).</t>
  </si>
  <si>
    <t>Mandatory Redemption</t>
  </si>
  <si>
    <t>Consists of series A and B. Maturity date started in 1985.</t>
  </si>
  <si>
    <t>Maturity date started in 1986.</t>
  </si>
  <si>
    <t>Loan</t>
  </si>
  <si>
    <t>In 1991 the Borough of St. Marys and the Township of Benzinger decided to consolidate to form the city of St. Marys</t>
  </si>
  <si>
    <t>St Mary Official Statement 1994</t>
  </si>
  <si>
    <t>In 1967 the city purchased St. Marys Water Company and constructed a new impounding dam and improved distribution system</t>
  </si>
  <si>
    <t>In 1969 the Authority entered into a purchase agreement with the American Water Works Company, the parent coporation of St. Marys Water Company for $2.1 M and permanently overtook the operation of the system.</t>
  </si>
  <si>
    <t>The Authority accomplished the above through $6.01M in water revenue bonds and $2.25M in grant monies. In order to support new debt service, water rates were increased by 100% on January 1, 1970</t>
  </si>
  <si>
    <t>1000 AC of land were purchased to create an 800 Mgal impoundment and ifltration plan in 1970 and 19701</t>
  </si>
  <si>
    <t>In 1971 the Authority purchased the Kersey water system from the Fox Township Water and Sewer Authority for $74,500 that was piad for over 5 years. The Kersey system had been purchasing water from the St. Marys Water Company prior to the acquisition of that system by teh Authority because of inadequate service from Kersey.</t>
  </si>
  <si>
    <t>In 1974-75 a pumping station and reservoir system was constructed using grants from HUD ($306,000), PA DOC ($60,000), and local funding ($420,000)</t>
  </si>
  <si>
    <t>In 1976 a 10 in main was constructed to provide fire protection to commerical and industrial area. Financed with a $50,000 Community Facilities Grant and $200,000 in local funds.</t>
  </si>
  <si>
    <t>1978 a deteriorating open reservoir was replaced and financed by a $1M bank loan with a 20% increase in water rates to satisfy additional debet service</t>
  </si>
  <si>
    <t>rates increased by 100% to cover debt service</t>
  </si>
  <si>
    <t>rates increased by 20% to satisfy new debt service</t>
  </si>
  <si>
    <t>In 1982 they constructed a water supply system to Elk County Industrial Park. Jointly financed by PA DOC ($50,000), Appalachian Regional Commission ($200,000), and Farmers Home Administration ($66,780) plus local funds (total funds needed = $440,000)</t>
  </si>
  <si>
    <t>In 1983 a $475k water reservoir was added to better serve Fox Township and Kersey. Only assistance was $75,000 from PA DOC</t>
  </si>
  <si>
    <t>Grant</t>
  </si>
  <si>
    <t>Utility Funds</t>
  </si>
  <si>
    <t>HUD Grant</t>
  </si>
  <si>
    <t>PA Department of Commerce</t>
  </si>
  <si>
    <t>Local Funding</t>
  </si>
  <si>
    <t>Community Facility Grant</t>
  </si>
  <si>
    <t>Local Funds</t>
  </si>
  <si>
    <t>Purchase the Kersey Water System from Fox Township Water and Sewer Authority</t>
  </si>
  <si>
    <t>Construct water storage reservoir and distribution system in North High District Area</t>
  </si>
  <si>
    <t>Add water line through city to update distribution and provide fire protection to commercial and industrial section</t>
  </si>
  <si>
    <t>Bank Loan</t>
  </si>
  <si>
    <t>Replace deteriorating open reservoir with two covered concrete reservoirs</t>
  </si>
  <si>
    <t>Appalachian Regional Commission</t>
  </si>
  <si>
    <t>Farmers Home Administration</t>
  </si>
  <si>
    <t>Construct a $440,000 water supply system to the Elk County Industrial Park</t>
  </si>
  <si>
    <t>Construct a $475,000 water reservoir to better serve Fox Township and Kersey system. Majority was paid for by Authority</t>
  </si>
  <si>
    <t>Repair a major water line leak on the 20" main line.</t>
  </si>
  <si>
    <t>Construction of South High Service Reservoir for $253,000</t>
  </si>
  <si>
    <t>EDA</t>
  </si>
  <si>
    <t>Complete Phase 2 of Fox Township and Kersey system. Not sure who EDA is</t>
  </si>
  <si>
    <t>A $650,000 project funded by the Authority, residents, and a loan from PennVest</t>
  </si>
  <si>
    <t>Pennvest</t>
  </si>
  <si>
    <t>A $500,000 distribution system expansion was funded by the Authority and benefitting residents</t>
  </si>
  <si>
    <t>Over the past 20 years the Authority has constructed main lines to many outlying areas beyond the Service Area - nearly 20 new miles of lines was jointly financed by the Authority and the benefitting property owners. This nearly doubled the number of customers served.</t>
  </si>
  <si>
    <t>Modern filtration Plant</t>
  </si>
  <si>
    <t>The daily demand on the System varies between 2.5 and 3.0 million MGD. There has been a decline in industrial usage, although the decline has been offset by an increase in residential and commercial usage due to extending the service area.</t>
  </si>
  <si>
    <t>30001-330000</t>
  </si>
  <si>
    <t>Occurrence</t>
  </si>
  <si>
    <t>In1991 the Authority entered into an agreement with Brown Lee Lumber Company permitting the company to harvest trees of their Laurel Run property for $525,000 through Feb 1993.</t>
  </si>
  <si>
    <t>We have the monthly revenues and expenses and usage by customer class</t>
  </si>
  <si>
    <t>Redeem 1969 Bonds</t>
  </si>
  <si>
    <t>Redeem the 1994 bonds</t>
  </si>
  <si>
    <t>St Mary Official Statement 2003</t>
  </si>
  <si>
    <t>Authority entered into another Timber sales agreement with St. Marys Lumber Company for $779,725 between Dec 2000 and April 2002</t>
  </si>
  <si>
    <t>Location</t>
  </si>
  <si>
    <t>Jay Township</t>
  </si>
  <si>
    <t>No longer in business effetive December, 2002. Partial year total: Jan to Nov 30.</t>
  </si>
  <si>
    <t>Partial year only: Jan to Nov 2002. Supplement by adding 1/11th for these</t>
  </si>
  <si>
    <t>March</t>
  </si>
  <si>
    <t>April</t>
  </si>
  <si>
    <t>May</t>
  </si>
  <si>
    <t>July</t>
  </si>
  <si>
    <t>August</t>
  </si>
  <si>
    <t>September</t>
  </si>
  <si>
    <t>Not provided - used the amount needed to redeem bonds</t>
  </si>
  <si>
    <t>Redeem 2003 bonds</t>
  </si>
  <si>
    <t>Redeem the 2010 bonds</t>
  </si>
  <si>
    <t>Thomas Gerg</t>
  </si>
  <si>
    <t>Warren Olsen</t>
  </si>
  <si>
    <t>Leo Ehrensberger</t>
  </si>
  <si>
    <t>Thomas Gregorchik</t>
  </si>
  <si>
    <t>Gerald Huff</t>
  </si>
  <si>
    <t>Lawrence Lecker</t>
  </si>
  <si>
    <t>Kenneth Meier</t>
  </si>
  <si>
    <t>Brenda Wright</t>
  </si>
  <si>
    <t>Rita Coppolo</t>
  </si>
  <si>
    <t>Paul McIntosh</t>
  </si>
  <si>
    <t>Dwight Hoare</t>
  </si>
  <si>
    <t>Michael Kneidel</t>
  </si>
  <si>
    <t>Ranfall Gradizzi</t>
  </si>
  <si>
    <t>David Pontzer</t>
  </si>
  <si>
    <t>Robert Breindel Jr.</t>
  </si>
  <si>
    <t>Michael Goetz</t>
  </si>
  <si>
    <t>Victor Staub</t>
  </si>
  <si>
    <t>Robert Keim</t>
  </si>
  <si>
    <t>Leo Weichman</t>
  </si>
  <si>
    <t>St Mary Official Statement 1992 Sewer</t>
  </si>
  <si>
    <t>Entered a service and guaranty Agreement in 1985, 1986, and 1992 with the Borough of St Marys and the Towjship if Benzinger, giving their taxing power the ability to cover debt</t>
  </si>
  <si>
    <t>Indirectly</t>
  </si>
  <si>
    <t>Entered a Service and Guarnty Agreement with the Borough of St. Marys and the Town of Benzinger to enable their taxing authority to ensure bond debt payments</t>
  </si>
  <si>
    <t>Uner 1986 agreement of lease, the sewer service charages are collected by the Borough of St. Marys and credited to the Municiapl Authority of the Borough of St. Marys</t>
  </si>
  <si>
    <t>Contract term was extended from 1986 to 2036. This is the recognition of the Municipal Authority. The system is leased to the Municipal Authority from the Borough of St. Mary.</t>
  </si>
  <si>
    <t>Redeem the 1986 bonds</t>
  </si>
  <si>
    <t>Sewer Bond 1959</t>
  </si>
  <si>
    <t>Sewer Bond 1964</t>
  </si>
  <si>
    <t>Sewer Bond 1986</t>
  </si>
  <si>
    <t>I think the Municipal Authority was reconstituted with the merging of Benzinger and St. Marys into a consolidated city in 1994.</t>
  </si>
  <si>
    <t>Lists the overlapping debt for St. Marys - including debt in the Borough and Benzinger Township (has their own revenue bonds for Sewer) and St. Mary's Area Water Authority</t>
  </si>
  <si>
    <t>Expanding STP</t>
  </si>
  <si>
    <t>Guanteed by St. Mary</t>
  </si>
  <si>
    <t>Redeem the 1992 bonds</t>
  </si>
  <si>
    <t>St. Mary Official Statement 2002 Sewer</t>
  </si>
  <si>
    <t>Voters in 1984 chose to incorporte St. Marys Borough and Benzinger Township into a Thrid Class City in 1992. Following a 2 yr transition period, the City of St. Mary's began operating in Jan 1994. The City is a Home Rule Charter City.</t>
  </si>
  <si>
    <t>Sewer Guaranteed Revenue Bonds 1992</t>
  </si>
  <si>
    <t>Guaranteed Revenue Bonds 1998</t>
  </si>
  <si>
    <t>Redeem the 2002 bonds</t>
  </si>
  <si>
    <t>Plant expanded to current capacity in 1986-88. Wet weatehr flow is much larger. Population equivalence for WWTP is 17,000 people.</t>
  </si>
  <si>
    <t>Sewer treatment plant built in 1961.</t>
  </si>
  <si>
    <t>This is based on revenue from lease rental (not from bills collected) Not sure how to fix this.</t>
  </si>
  <si>
    <t>Based on total sewer collections</t>
  </si>
  <si>
    <t>Aa3</t>
  </si>
  <si>
    <t>Redeem the 2005 bond</t>
  </si>
  <si>
    <t>10,001 to 50,000</t>
  </si>
  <si>
    <t>50,001 to 999000</t>
  </si>
  <si>
    <t>More than 1,000,000</t>
  </si>
  <si>
    <t>First 10,000</t>
  </si>
  <si>
    <t>Redeem the 2010 bonds - except for 530,000</t>
  </si>
  <si>
    <t>Yes with city not water</t>
  </si>
  <si>
    <t>Interfund receivables</t>
  </si>
  <si>
    <t>Prepait Items</t>
  </si>
  <si>
    <t>Interfund payables</t>
  </si>
  <si>
    <t>Due to other Goverments</t>
  </si>
  <si>
    <t>Revenue Bonds</t>
  </si>
  <si>
    <t>Compensated Absences</t>
  </si>
  <si>
    <t>Charges for Service</t>
  </si>
  <si>
    <t>Net Refunds</t>
  </si>
  <si>
    <t>Uncollectible receivables</t>
  </si>
  <si>
    <t>Subsequent financial documents indicate financial distress for the city</t>
  </si>
  <si>
    <t>Unearned revenue</t>
  </si>
  <si>
    <t>Net Transfers</t>
  </si>
  <si>
    <t>Something big has changed between 2015 and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</si>
</sst>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12121"/>
      <name val="Calibri"/>
      <family val="2"/>
    </font>
    <font>
      <sz val="8"/>
      <name val="Calibri"/>
      <family val="2"/>
      <scheme val="minor"/>
    </font>
    <font>
      <sz val="9"/>
      <color theme="1"/>
      <name val="Times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0" xfId="0" applyFont="1" applyFill="1"/>
    <xf numFmtId="164" fontId="3" fillId="2" borderId="1" xfId="1" applyNumberFormat="1" applyFont="1" applyFill="1" applyBorder="1" applyAlignment="1"/>
    <xf numFmtId="2" fontId="3" fillId="2" borderId="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left"/>
    </xf>
    <xf numFmtId="164" fontId="3" fillId="3" borderId="0" xfId="1" applyNumberFormat="1" applyFont="1" applyFill="1" applyAlignment="1">
      <alignment horizontal="center"/>
    </xf>
    <xf numFmtId="164" fontId="0" fillId="2" borderId="0" xfId="1" applyNumberFormat="1" applyFont="1" applyFill="1"/>
    <xf numFmtId="164" fontId="2" fillId="2" borderId="0" xfId="1" applyNumberFormat="1" applyFont="1" applyFill="1"/>
    <xf numFmtId="164" fontId="3" fillId="2" borderId="0" xfId="1" applyNumberFormat="1" applyFont="1" applyFill="1" applyAlignment="1">
      <alignment horizontal="center"/>
    </xf>
    <xf numFmtId="164" fontId="3" fillId="2" borderId="0" xfId="1" applyNumberFormat="1" applyFont="1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0" fillId="2" borderId="0" xfId="0" applyFont="1" applyFill="1"/>
    <xf numFmtId="0" fontId="6" fillId="0" borderId="0" xfId="0" applyFont="1"/>
    <xf numFmtId="6" fontId="0" fillId="2" borderId="0" xfId="0" applyNumberFormat="1" applyFill="1"/>
    <xf numFmtId="3" fontId="0" fillId="2" borderId="0" xfId="0" applyNumberFormat="1" applyFill="1"/>
    <xf numFmtId="0" fontId="0" fillId="2" borderId="0" xfId="0" applyNumberFormat="1" applyFill="1"/>
    <xf numFmtId="0" fontId="8" fillId="0" borderId="0" xfId="0" applyFont="1"/>
    <xf numFmtId="0" fontId="9" fillId="4" borderId="0" xfId="0" applyFont="1" applyFill="1"/>
    <xf numFmtId="0" fontId="0" fillId="2" borderId="0" xfId="0" applyFont="1" applyFill="1" applyBorder="1" applyAlignment="1">
      <alignment vertical="center"/>
    </xf>
    <xf numFmtId="0" fontId="5" fillId="0" borderId="0" xfId="0" applyFont="1"/>
    <xf numFmtId="3" fontId="3" fillId="2" borderId="0" xfId="1" applyNumberFormat="1" applyFont="1" applyFill="1" applyAlignment="1">
      <alignment horizontal="center"/>
    </xf>
    <xf numFmtId="38" fontId="3" fillId="2" borderId="0" xfId="1" applyNumberFormat="1" applyFont="1" applyFill="1" applyAlignment="1">
      <alignment horizontal="center"/>
    </xf>
    <xf numFmtId="3" fontId="0" fillId="2" borderId="0" xfId="1" applyNumberFormat="1" applyFont="1" applyFill="1"/>
    <xf numFmtId="38" fontId="0" fillId="2" borderId="0" xfId="1" applyNumberFormat="1" applyFont="1" applyFill="1"/>
    <xf numFmtId="0" fontId="0" fillId="2" borderId="0" xfId="1" applyNumberFormat="1" applyFont="1" applyFill="1"/>
    <xf numFmtId="38" fontId="10" fillId="0" borderId="0" xfId="0" applyNumberFormat="1" applyFont="1"/>
    <xf numFmtId="3" fontId="10" fillId="0" borderId="0" xfId="0" applyNumberFormat="1" applyFont="1"/>
    <xf numFmtId="164" fontId="1" fillId="2" borderId="0" xfId="1" applyNumberFormat="1" applyFont="1" applyFill="1" applyAlignment="1">
      <alignment horizontal="center"/>
    </xf>
    <xf numFmtId="37" fontId="3" fillId="2" borderId="0" xfId="1" applyNumberFormat="1" applyFont="1" applyFill="1" applyAlignment="1">
      <alignment horizontal="center"/>
    </xf>
    <xf numFmtId="37" fontId="1" fillId="2" borderId="0" xfId="1" applyNumberFormat="1" applyFont="1" applyFill="1" applyAlignment="1">
      <alignment horizontal="center"/>
    </xf>
    <xf numFmtId="37" fontId="0" fillId="2" borderId="0" xfId="1" applyNumberFormat="1" applyFont="1" applyFill="1"/>
    <xf numFmtId="37" fontId="3" fillId="2" borderId="0" xfId="1" applyNumberFormat="1" applyFont="1" applyFill="1"/>
    <xf numFmtId="37" fontId="0" fillId="2" borderId="0" xfId="0" applyNumberFormat="1" applyFill="1"/>
    <xf numFmtId="37" fontId="0" fillId="2" borderId="0" xfId="1" applyNumberFormat="1" applyFont="1" applyFill="1" applyAlignment="1">
      <alignment vertical="center"/>
    </xf>
    <xf numFmtId="37" fontId="3" fillId="2" borderId="0" xfId="1" applyNumberFormat="1" applyFont="1" applyFill="1" applyAlignment="1">
      <alignment vertical="center"/>
    </xf>
    <xf numFmtId="37" fontId="0" fillId="2" borderId="0" xfId="0" applyNumberFormat="1" applyFill="1" applyAlignment="1">
      <alignment vertical="center"/>
    </xf>
    <xf numFmtId="37" fontId="1" fillId="2" borderId="0" xfId="1" applyNumberFormat="1" applyFont="1" applyFill="1" applyAlignment="1">
      <alignment vertical="center"/>
    </xf>
    <xf numFmtId="37" fontId="3" fillId="2" borderId="0" xfId="0" applyNumberFormat="1" applyFont="1" applyFill="1" applyAlignment="1">
      <alignment vertical="center"/>
    </xf>
    <xf numFmtId="37" fontId="0" fillId="2" borderId="0" xfId="0" applyNumberFormat="1" applyFont="1" applyFill="1"/>
    <xf numFmtId="37" fontId="3" fillId="2" borderId="0" xfId="0" applyNumberFormat="1" applyFont="1" applyFill="1"/>
    <xf numFmtId="37" fontId="3" fillId="5" borderId="0" xfId="0" applyNumberFormat="1" applyFont="1" applyFill="1"/>
    <xf numFmtId="38" fontId="3" fillId="2" borderId="0" xfId="1" applyNumberFormat="1" applyFont="1" applyFill="1"/>
    <xf numFmtId="164" fontId="1" fillId="2" borderId="0" xfId="1" applyNumberFormat="1" applyFont="1" applyFill="1"/>
    <xf numFmtId="37" fontId="1" fillId="2" borderId="0" xfId="1" applyNumberFormat="1" applyFont="1" applyFill="1"/>
    <xf numFmtId="38" fontId="1" fillId="2" borderId="0" xfId="1" applyNumberFormat="1" applyFont="1" applyFill="1" applyAlignment="1">
      <alignment horizontal="center"/>
    </xf>
    <xf numFmtId="3" fontId="0" fillId="2" borderId="0" xfId="0" applyNumberFormat="1" applyFont="1" applyFill="1"/>
    <xf numFmtId="164" fontId="3" fillId="2" borderId="0" xfId="0" applyNumberFormat="1" applyFont="1" applyFill="1"/>
    <xf numFmtId="38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6" fillId="2" borderId="0" xfId="0" applyFont="1" applyFill="1"/>
    <xf numFmtId="0" fontId="0" fillId="2" borderId="0" xfId="0" applyFill="1" applyAlignment="1">
      <alignment horizontal="center" vertical="center"/>
    </xf>
    <xf numFmtId="0" fontId="5" fillId="2" borderId="0" xfId="0" applyFont="1" applyFill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36" sqref="A36"/>
    </sheetView>
  </sheetViews>
  <sheetFormatPr defaultColWidth="8.77734375" defaultRowHeight="14.4" x14ac:dyDescent="0.3"/>
  <cols>
    <col min="1" max="1" width="28" style="1" customWidth="1"/>
    <col min="2" max="2" width="5.109375" style="58" bestFit="1" customWidth="1"/>
    <col min="3" max="3" width="65" style="1" customWidth="1"/>
    <col min="4" max="16384" width="8.77734375" style="1"/>
  </cols>
  <sheetData>
    <row r="1" spans="1:3" ht="18" x14ac:dyDescent="0.35">
      <c r="A1" s="17" t="s">
        <v>83</v>
      </c>
    </row>
    <row r="2" spans="1:3" ht="18" x14ac:dyDescent="0.35">
      <c r="A2" s="17" t="s">
        <v>87</v>
      </c>
    </row>
    <row r="4" spans="1:3" x14ac:dyDescent="0.3">
      <c r="A4" s="18" t="s">
        <v>84</v>
      </c>
      <c r="B4" s="59" t="s">
        <v>85</v>
      </c>
      <c r="C4" s="18" t="s">
        <v>86</v>
      </c>
    </row>
    <row r="5" spans="1:3" x14ac:dyDescent="0.3">
      <c r="A5" s="1" t="s">
        <v>380</v>
      </c>
    </row>
    <row r="7" spans="1:3" x14ac:dyDescent="0.3">
      <c r="A7" s="1" t="s">
        <v>494</v>
      </c>
      <c r="B7" s="58">
        <v>14</v>
      </c>
      <c r="C7" s="1" t="s">
        <v>493</v>
      </c>
    </row>
    <row r="8" spans="1:3" x14ac:dyDescent="0.3">
      <c r="A8" s="1" t="s">
        <v>494</v>
      </c>
      <c r="B8" s="58">
        <v>14</v>
      </c>
      <c r="C8" s="1" t="s">
        <v>495</v>
      </c>
    </row>
    <row r="9" spans="1:3" x14ac:dyDescent="0.3">
      <c r="A9" s="1" t="s">
        <v>494</v>
      </c>
      <c r="B9" s="58">
        <v>14</v>
      </c>
      <c r="C9" s="1" t="s">
        <v>496</v>
      </c>
    </row>
    <row r="10" spans="1:3" x14ac:dyDescent="0.3">
      <c r="C10" s="1" t="s">
        <v>497</v>
      </c>
    </row>
    <row r="11" spans="1:3" x14ac:dyDescent="0.3">
      <c r="C11" s="1" t="s">
        <v>498</v>
      </c>
    </row>
    <row r="12" spans="1:3" x14ac:dyDescent="0.3">
      <c r="A12" s="1" t="s">
        <v>494</v>
      </c>
      <c r="B12" s="58">
        <v>15</v>
      </c>
      <c r="C12" s="1" t="s">
        <v>499</v>
      </c>
    </row>
    <row r="13" spans="1:3" x14ac:dyDescent="0.3">
      <c r="C13" s="1" t="s">
        <v>500</v>
      </c>
    </row>
    <row r="14" spans="1:3" x14ac:dyDescent="0.3">
      <c r="C14" s="1" t="s">
        <v>501</v>
      </c>
    </row>
    <row r="15" spans="1:3" x14ac:dyDescent="0.3">
      <c r="C15" s="1" t="s">
        <v>502</v>
      </c>
    </row>
    <row r="16" spans="1:3" x14ac:dyDescent="0.3">
      <c r="C16" s="1" t="s">
        <v>505</v>
      </c>
    </row>
    <row r="17" spans="1:3" x14ac:dyDescent="0.3">
      <c r="C17" s="1" t="s">
        <v>506</v>
      </c>
    </row>
    <row r="18" spans="1:3" s="57" customFormat="1" x14ac:dyDescent="0.3">
      <c r="A18" s="57" t="s">
        <v>494</v>
      </c>
      <c r="B18" s="60">
        <v>15</v>
      </c>
      <c r="C18" s="57" t="s">
        <v>530</v>
      </c>
    </row>
    <row r="19" spans="1:3" x14ac:dyDescent="0.3">
      <c r="A19" s="1" t="s">
        <v>494</v>
      </c>
      <c r="B19" s="58">
        <v>16</v>
      </c>
      <c r="C19" s="1" t="s">
        <v>532</v>
      </c>
    </row>
    <row r="20" spans="1:3" x14ac:dyDescent="0.3">
      <c r="A20" s="1" t="s">
        <v>494</v>
      </c>
      <c r="B20" s="58">
        <v>25</v>
      </c>
      <c r="C20" s="1" t="s">
        <v>535</v>
      </c>
    </row>
    <row r="21" spans="1:3" x14ac:dyDescent="0.3">
      <c r="A21" s="1" t="s">
        <v>494</v>
      </c>
      <c r="B21" s="58">
        <v>36</v>
      </c>
      <c r="C21" s="1" t="s">
        <v>536</v>
      </c>
    </row>
    <row r="23" spans="1:3" x14ac:dyDescent="0.3">
      <c r="A23" s="1" t="s">
        <v>539</v>
      </c>
      <c r="B23" s="58">
        <v>16</v>
      </c>
      <c r="C23" s="1" t="s">
        <v>540</v>
      </c>
    </row>
    <row r="25" spans="1:3" s="57" customFormat="1" x14ac:dyDescent="0.3">
      <c r="A25" s="57" t="s">
        <v>487</v>
      </c>
      <c r="B25" s="60">
        <v>70</v>
      </c>
      <c r="C25" s="57" t="s">
        <v>488</v>
      </c>
    </row>
    <row r="28" spans="1:3" x14ac:dyDescent="0.3">
      <c r="A28" s="1" t="s">
        <v>573</v>
      </c>
      <c r="B28" s="58">
        <v>7</v>
      </c>
      <c r="C28" s="1" t="s">
        <v>574</v>
      </c>
    </row>
    <row r="29" spans="1:3" x14ac:dyDescent="0.3">
      <c r="A29" s="1" t="s">
        <v>573</v>
      </c>
      <c r="B29" s="58">
        <v>8</v>
      </c>
      <c r="C29" s="1" t="s">
        <v>577</v>
      </c>
    </row>
    <row r="30" spans="1:3" x14ac:dyDescent="0.3">
      <c r="A30" s="1" t="s">
        <v>573</v>
      </c>
      <c r="B30" s="58">
        <v>35</v>
      </c>
      <c r="C30" s="1" t="s">
        <v>583</v>
      </c>
    </row>
    <row r="31" spans="1:3" s="57" customFormat="1" x14ac:dyDescent="0.3">
      <c r="A31" s="57" t="s">
        <v>573</v>
      </c>
      <c r="B31" s="60">
        <v>58</v>
      </c>
      <c r="C31" s="57" t="s">
        <v>584</v>
      </c>
    </row>
    <row r="33" spans="1:3" x14ac:dyDescent="0.3">
      <c r="A33" s="1" t="s">
        <v>588</v>
      </c>
      <c r="B33" s="58">
        <v>23</v>
      </c>
      <c r="C33" s="1" t="s">
        <v>589</v>
      </c>
    </row>
    <row r="35" spans="1:3" x14ac:dyDescent="0.3">
      <c r="A35" s="1" t="s">
        <v>614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2" sqref="H2"/>
    </sheetView>
  </sheetViews>
  <sheetFormatPr defaultColWidth="8.77734375" defaultRowHeight="14.4" x14ac:dyDescent="0.3"/>
  <cols>
    <col min="1" max="1" width="10.109375" style="1" bestFit="1" customWidth="1"/>
    <col min="2" max="3" width="8.77734375" style="1"/>
    <col min="4" max="4" width="11.109375" style="1" bestFit="1" customWidth="1"/>
    <col min="5" max="16384" width="8.77734375" style="1"/>
  </cols>
  <sheetData>
    <row r="1" spans="1:8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126</v>
      </c>
      <c r="F1" s="2" t="s">
        <v>123</v>
      </c>
      <c r="G1" s="2" t="s">
        <v>109</v>
      </c>
      <c r="H1" s="4" t="s">
        <v>96</v>
      </c>
    </row>
    <row r="2" spans="1:8" x14ac:dyDescent="0.3">
      <c r="A2" s="20" t="s">
        <v>181</v>
      </c>
      <c r="B2" s="1" t="s">
        <v>182</v>
      </c>
      <c r="C2" s="1">
        <v>1994</v>
      </c>
      <c r="D2" s="1" t="s">
        <v>183</v>
      </c>
      <c r="E2" s="1" t="s">
        <v>227</v>
      </c>
      <c r="F2" s="1" t="s">
        <v>228</v>
      </c>
      <c r="G2" s="1" t="s">
        <v>229</v>
      </c>
      <c r="H2" s="1" t="s">
        <v>493</v>
      </c>
    </row>
    <row r="3" spans="1:8" x14ac:dyDescent="0.3">
      <c r="A3" s="20" t="s">
        <v>181</v>
      </c>
      <c r="B3" s="1" t="s">
        <v>182</v>
      </c>
      <c r="C3" s="1">
        <v>1994</v>
      </c>
      <c r="D3" s="1" t="s">
        <v>183</v>
      </c>
      <c r="E3" s="1" t="s">
        <v>227</v>
      </c>
      <c r="F3" s="1" t="s">
        <v>230</v>
      </c>
      <c r="G3" s="1" t="s">
        <v>231</v>
      </c>
      <c r="H3" s="1" t="s">
        <v>234</v>
      </c>
    </row>
    <row r="4" spans="1:8" x14ac:dyDescent="0.3">
      <c r="A4" s="20" t="s">
        <v>181</v>
      </c>
      <c r="B4" s="1" t="s">
        <v>182</v>
      </c>
      <c r="C4" s="1">
        <v>1994</v>
      </c>
      <c r="D4" s="1" t="s">
        <v>183</v>
      </c>
      <c r="E4" s="1" t="s">
        <v>227</v>
      </c>
      <c r="F4" s="1" t="s">
        <v>232</v>
      </c>
      <c r="G4" s="1" t="s">
        <v>231</v>
      </c>
      <c r="H4" s="1" t="s">
        <v>234</v>
      </c>
    </row>
    <row r="5" spans="1:8" x14ac:dyDescent="0.3">
      <c r="A5" s="20" t="s">
        <v>181</v>
      </c>
      <c r="B5" s="1" t="s">
        <v>182</v>
      </c>
      <c r="C5" s="1">
        <v>2003</v>
      </c>
      <c r="D5" s="1" t="s">
        <v>183</v>
      </c>
      <c r="E5" s="1" t="s">
        <v>227</v>
      </c>
      <c r="F5" s="1" t="s">
        <v>228</v>
      </c>
      <c r="G5" s="1" t="s">
        <v>229</v>
      </c>
    </row>
    <row r="6" spans="1:8" x14ac:dyDescent="0.3">
      <c r="A6" s="20" t="s">
        <v>181</v>
      </c>
      <c r="B6" s="1" t="s">
        <v>182</v>
      </c>
      <c r="C6" s="1">
        <v>2003</v>
      </c>
      <c r="D6" s="1" t="s">
        <v>183</v>
      </c>
      <c r="E6" s="1" t="s">
        <v>227</v>
      </c>
      <c r="F6" s="1" t="s">
        <v>230</v>
      </c>
      <c r="G6" s="1" t="s">
        <v>231</v>
      </c>
    </row>
    <row r="7" spans="1:8" x14ac:dyDescent="0.3">
      <c r="A7" s="20" t="s">
        <v>181</v>
      </c>
      <c r="B7" s="1" t="s">
        <v>182</v>
      </c>
      <c r="C7" s="1">
        <v>2003</v>
      </c>
      <c r="D7" s="1" t="s">
        <v>183</v>
      </c>
      <c r="E7" s="1" t="s">
        <v>227</v>
      </c>
      <c r="F7" s="1" t="s">
        <v>232</v>
      </c>
      <c r="G7" s="1" t="s">
        <v>231</v>
      </c>
      <c r="H7" s="1" t="s">
        <v>233</v>
      </c>
    </row>
    <row r="8" spans="1:8" x14ac:dyDescent="0.3">
      <c r="A8" s="20" t="s">
        <v>181</v>
      </c>
      <c r="B8" s="1" t="s">
        <v>182</v>
      </c>
      <c r="C8" s="1">
        <v>2010</v>
      </c>
      <c r="D8" s="1" t="s">
        <v>183</v>
      </c>
      <c r="E8" s="1" t="s">
        <v>227</v>
      </c>
      <c r="F8" s="1" t="s">
        <v>228</v>
      </c>
      <c r="G8" s="1" t="s">
        <v>229</v>
      </c>
    </row>
    <row r="9" spans="1:8" x14ac:dyDescent="0.3">
      <c r="A9" s="20" t="s">
        <v>181</v>
      </c>
      <c r="B9" s="1" t="s">
        <v>182</v>
      </c>
      <c r="C9" s="1">
        <v>2010</v>
      </c>
      <c r="D9" s="1" t="s">
        <v>183</v>
      </c>
      <c r="E9" s="1" t="s">
        <v>227</v>
      </c>
      <c r="F9" s="1" t="s">
        <v>230</v>
      </c>
      <c r="G9" s="1" t="s">
        <v>231</v>
      </c>
    </row>
    <row r="10" spans="1:8" x14ac:dyDescent="0.3">
      <c r="A10" s="20" t="s">
        <v>181</v>
      </c>
      <c r="B10" s="1" t="s">
        <v>182</v>
      </c>
      <c r="C10" s="1">
        <v>2010</v>
      </c>
      <c r="D10" s="1" t="s">
        <v>183</v>
      </c>
      <c r="E10" s="1" t="s">
        <v>227</v>
      </c>
      <c r="F10" s="1" t="s">
        <v>232</v>
      </c>
      <c r="G10" s="1" t="s">
        <v>231</v>
      </c>
      <c r="H10" s="1" t="s">
        <v>233</v>
      </c>
    </row>
    <row r="11" spans="1:8" x14ac:dyDescent="0.3">
      <c r="A11" s="20" t="s">
        <v>181</v>
      </c>
      <c r="B11" s="1" t="s">
        <v>182</v>
      </c>
      <c r="C11" s="1">
        <v>2017</v>
      </c>
      <c r="D11" s="1" t="s">
        <v>183</v>
      </c>
      <c r="E11" s="1" t="s">
        <v>227</v>
      </c>
      <c r="F11" s="1" t="s">
        <v>228</v>
      </c>
      <c r="G11" s="1" t="s">
        <v>229</v>
      </c>
    </row>
    <row r="12" spans="1:8" x14ac:dyDescent="0.3">
      <c r="A12" s="20" t="s">
        <v>235</v>
      </c>
      <c r="B12" s="1" t="s">
        <v>182</v>
      </c>
      <c r="C12" s="1">
        <v>2017</v>
      </c>
      <c r="D12" s="1" t="s">
        <v>183</v>
      </c>
      <c r="E12" s="1" t="s">
        <v>227</v>
      </c>
      <c r="F12" s="1" t="s">
        <v>230</v>
      </c>
      <c r="G12" s="1" t="s">
        <v>231</v>
      </c>
    </row>
    <row r="13" spans="1:8" x14ac:dyDescent="0.3">
      <c r="A13" s="20" t="s">
        <v>236</v>
      </c>
      <c r="B13" s="1" t="s">
        <v>182</v>
      </c>
      <c r="C13" s="1">
        <v>2017</v>
      </c>
      <c r="D13" s="1" t="s">
        <v>183</v>
      </c>
      <c r="E13" s="1" t="s">
        <v>227</v>
      </c>
      <c r="F13" s="1" t="s">
        <v>232</v>
      </c>
      <c r="G13" s="1" t="s">
        <v>231</v>
      </c>
      <c r="H13" s="1" t="s">
        <v>233</v>
      </c>
    </row>
    <row r="14" spans="1:8" x14ac:dyDescent="0.3">
      <c r="A14" s="20" t="s">
        <v>181</v>
      </c>
      <c r="B14" s="1" t="s">
        <v>182</v>
      </c>
      <c r="C14" s="1">
        <v>1992</v>
      </c>
      <c r="D14" s="1" t="s">
        <v>381</v>
      </c>
      <c r="E14" s="1" t="s">
        <v>227</v>
      </c>
      <c r="F14" s="1" t="s">
        <v>228</v>
      </c>
      <c r="G14" s="1" t="s">
        <v>229</v>
      </c>
    </row>
    <row r="15" spans="1:8" x14ac:dyDescent="0.3">
      <c r="A15" s="20" t="s">
        <v>181</v>
      </c>
      <c r="B15" s="1" t="s">
        <v>182</v>
      </c>
      <c r="C15" s="1">
        <v>2002</v>
      </c>
      <c r="D15" s="1" t="s">
        <v>381</v>
      </c>
      <c r="E15" s="1" t="s">
        <v>227</v>
      </c>
      <c r="F15" s="1" t="s">
        <v>228</v>
      </c>
      <c r="G15" s="1" t="s">
        <v>229</v>
      </c>
    </row>
    <row r="16" spans="1:8" x14ac:dyDescent="0.3">
      <c r="A16" s="20" t="s">
        <v>181</v>
      </c>
      <c r="B16" s="1" t="s">
        <v>182</v>
      </c>
      <c r="C16" s="1">
        <v>2005</v>
      </c>
      <c r="D16" s="1" t="s">
        <v>381</v>
      </c>
      <c r="E16" s="1" t="s">
        <v>227</v>
      </c>
      <c r="F16" s="1" t="s">
        <v>228</v>
      </c>
      <c r="G16" s="1" t="s">
        <v>229</v>
      </c>
    </row>
    <row r="17" spans="1:7" x14ac:dyDescent="0.3">
      <c r="A17" s="20" t="s">
        <v>181</v>
      </c>
      <c r="B17" s="1" t="s">
        <v>182</v>
      </c>
      <c r="C17" s="1">
        <v>2010</v>
      </c>
      <c r="D17" s="1" t="s">
        <v>381</v>
      </c>
      <c r="E17" s="1" t="s">
        <v>227</v>
      </c>
      <c r="F17" s="1" t="s">
        <v>228</v>
      </c>
      <c r="G17" s="1" t="s">
        <v>229</v>
      </c>
    </row>
    <row r="18" spans="1:7" x14ac:dyDescent="0.3">
      <c r="A18" s="20" t="s">
        <v>181</v>
      </c>
      <c r="B18" s="1" t="s">
        <v>182</v>
      </c>
      <c r="C18" s="1">
        <v>2015</v>
      </c>
      <c r="D18" s="1" t="s">
        <v>381</v>
      </c>
      <c r="E18" s="1" t="s">
        <v>227</v>
      </c>
      <c r="F18" s="1" t="s">
        <v>228</v>
      </c>
      <c r="G18" s="1" t="s">
        <v>229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D9" sqref="D9"/>
    </sheetView>
  </sheetViews>
  <sheetFormatPr defaultColWidth="8.77734375" defaultRowHeight="14.4" x14ac:dyDescent="0.3"/>
  <cols>
    <col min="1" max="2" width="8.77734375" style="1"/>
    <col min="3" max="3" width="11.109375" style="1" bestFit="1" customWidth="1"/>
    <col min="4" max="4" width="11.77734375" style="1" bestFit="1" customWidth="1"/>
    <col min="5" max="5" width="15.77734375" style="1" bestFit="1" customWidth="1"/>
    <col min="6" max="6" width="20" style="1" bestFit="1" customWidth="1"/>
    <col min="7" max="16384" width="8.77734375" style="1"/>
  </cols>
  <sheetData>
    <row r="1" spans="1:11" x14ac:dyDescent="0.3">
      <c r="A1" s="2" t="s">
        <v>0</v>
      </c>
      <c r="B1" s="2" t="s">
        <v>2</v>
      </c>
      <c r="C1" s="2" t="s">
        <v>24</v>
      </c>
      <c r="D1" s="2" t="s">
        <v>127</v>
      </c>
      <c r="E1" s="2" t="s">
        <v>21</v>
      </c>
      <c r="F1" s="2" t="s">
        <v>128</v>
      </c>
      <c r="G1" s="2" t="s">
        <v>109</v>
      </c>
      <c r="H1" s="2" t="s">
        <v>129</v>
      </c>
      <c r="I1" s="2" t="s">
        <v>22</v>
      </c>
      <c r="J1" s="2" t="s">
        <v>23</v>
      </c>
      <c r="K1" s="2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8.77734375" defaultRowHeight="14.4" x14ac:dyDescent="0.3"/>
  <cols>
    <col min="1" max="1" width="10.109375" style="1" bestFit="1" customWidth="1"/>
    <col min="2" max="6" width="8.77734375" style="1"/>
    <col min="7" max="7" width="10.109375" style="1" bestFit="1" customWidth="1"/>
    <col min="8" max="16384" width="8.777343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4" t="s">
        <v>26</v>
      </c>
      <c r="E1" s="4" t="s">
        <v>130</v>
      </c>
      <c r="F1" s="4" t="s">
        <v>131</v>
      </c>
      <c r="G1" s="4" t="s">
        <v>28</v>
      </c>
      <c r="H1" s="4" t="s">
        <v>132</v>
      </c>
      <c r="I1" s="4" t="s">
        <v>133</v>
      </c>
      <c r="J1" s="4" t="s">
        <v>158</v>
      </c>
      <c r="K1" s="4" t="s">
        <v>29</v>
      </c>
      <c r="L1" s="4" t="s">
        <v>30</v>
      </c>
      <c r="M1" s="4" t="s">
        <v>96</v>
      </c>
    </row>
    <row r="2" spans="1:13" x14ac:dyDescent="0.3">
      <c r="A2" s="64" t="s">
        <v>181</v>
      </c>
      <c r="B2" s="1" t="s">
        <v>182</v>
      </c>
      <c r="C2" s="1">
        <v>1994</v>
      </c>
      <c r="D2" s="1" t="s">
        <v>237</v>
      </c>
      <c r="E2" s="1" t="s">
        <v>239</v>
      </c>
      <c r="F2" s="1" t="s">
        <v>238</v>
      </c>
      <c r="I2" s="1">
        <v>870</v>
      </c>
    </row>
    <row r="3" spans="1:13" x14ac:dyDescent="0.3">
      <c r="A3" s="64" t="s">
        <v>181</v>
      </c>
      <c r="B3" s="1" t="s">
        <v>182</v>
      </c>
      <c r="C3" s="1">
        <v>1994</v>
      </c>
      <c r="D3" s="1" t="s">
        <v>237</v>
      </c>
      <c r="E3" s="1" t="s">
        <v>531</v>
      </c>
      <c r="G3" s="1">
        <v>1971</v>
      </c>
      <c r="I3" s="1" t="s">
        <v>477</v>
      </c>
    </row>
    <row r="4" spans="1:13" x14ac:dyDescent="0.3">
      <c r="A4" s="64" t="s">
        <v>181</v>
      </c>
      <c r="B4" s="1" t="s">
        <v>182</v>
      </c>
      <c r="C4" s="1">
        <v>2003</v>
      </c>
      <c r="D4" s="1" t="s">
        <v>237</v>
      </c>
      <c r="E4" s="1" t="s">
        <v>239</v>
      </c>
      <c r="F4" s="1" t="s">
        <v>238</v>
      </c>
      <c r="I4" s="1">
        <v>870</v>
      </c>
    </row>
    <row r="5" spans="1:13" x14ac:dyDescent="0.3">
      <c r="A5" s="64" t="s">
        <v>181</v>
      </c>
      <c r="B5" s="1" t="s">
        <v>182</v>
      </c>
      <c r="C5" s="1">
        <v>2010</v>
      </c>
      <c r="D5" s="1" t="s">
        <v>237</v>
      </c>
      <c r="E5" s="1" t="s">
        <v>239</v>
      </c>
      <c r="F5" s="1" t="s">
        <v>238</v>
      </c>
      <c r="I5" s="1">
        <v>870</v>
      </c>
    </row>
    <row r="6" spans="1:13" x14ac:dyDescent="0.3">
      <c r="A6" s="64" t="s">
        <v>181</v>
      </c>
      <c r="B6" s="1" t="s">
        <v>182</v>
      </c>
      <c r="C6" s="1">
        <v>2017</v>
      </c>
      <c r="D6" s="1" t="s">
        <v>237</v>
      </c>
      <c r="E6" s="1" t="s">
        <v>239</v>
      </c>
      <c r="F6" s="1" t="s">
        <v>238</v>
      </c>
      <c r="I6" s="1">
        <v>870</v>
      </c>
    </row>
    <row r="7" spans="1:13" x14ac:dyDescent="0.3">
      <c r="A7" s="64" t="s">
        <v>181</v>
      </c>
      <c r="B7" s="1" t="s">
        <v>182</v>
      </c>
      <c r="C7" s="1">
        <v>2017</v>
      </c>
      <c r="D7" s="1" t="s">
        <v>237</v>
      </c>
      <c r="E7" s="1" t="s">
        <v>475</v>
      </c>
      <c r="F7" s="1" t="s">
        <v>476</v>
      </c>
      <c r="G7" s="1">
        <v>1971</v>
      </c>
      <c r="I7" s="1" t="s">
        <v>477</v>
      </c>
    </row>
    <row r="8" spans="1:13" x14ac:dyDescent="0.3">
      <c r="M8" s="1" t="s">
        <v>478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9" workbookViewId="0">
      <selection activeCell="G52" sqref="G52"/>
    </sheetView>
  </sheetViews>
  <sheetFormatPr defaultColWidth="8.77734375" defaultRowHeight="14.4" x14ac:dyDescent="0.3"/>
  <cols>
    <col min="1" max="1" width="10.109375" style="1" bestFit="1" customWidth="1"/>
    <col min="2" max="2" width="8.77734375" style="1"/>
    <col min="3" max="4" width="8.77734375" style="58"/>
    <col min="5" max="16384" width="8.77734375" style="1"/>
  </cols>
  <sheetData>
    <row r="1" spans="1:11" x14ac:dyDescent="0.3">
      <c r="A1" s="2" t="s">
        <v>0</v>
      </c>
      <c r="B1" s="2" t="s">
        <v>27</v>
      </c>
      <c r="C1" s="2" t="s">
        <v>2</v>
      </c>
      <c r="D1" s="2" t="s">
        <v>24</v>
      </c>
      <c r="E1" s="4" t="s">
        <v>134</v>
      </c>
      <c r="F1" s="4" t="s">
        <v>135</v>
      </c>
      <c r="G1" s="2" t="s">
        <v>136</v>
      </c>
      <c r="H1" s="4" t="s">
        <v>110</v>
      </c>
      <c r="I1" s="4" t="s">
        <v>25</v>
      </c>
      <c r="J1" s="4" t="s">
        <v>96</v>
      </c>
    </row>
    <row r="2" spans="1:11" x14ac:dyDescent="0.3">
      <c r="A2" s="20" t="s">
        <v>181</v>
      </c>
      <c r="B2" s="1" t="s">
        <v>182</v>
      </c>
      <c r="C2" s="63">
        <v>1994</v>
      </c>
      <c r="D2" s="63" t="s">
        <v>183</v>
      </c>
      <c r="E2" s="62" t="s">
        <v>243</v>
      </c>
      <c r="F2" s="62" t="s">
        <v>243</v>
      </c>
      <c r="G2" s="63" t="s">
        <v>245</v>
      </c>
      <c r="H2" s="62">
        <v>1969</v>
      </c>
      <c r="I2" s="62">
        <v>3677</v>
      </c>
      <c r="J2" s="62"/>
    </row>
    <row r="3" spans="1:11" x14ac:dyDescent="0.3">
      <c r="A3" s="20" t="s">
        <v>181</v>
      </c>
      <c r="B3" s="1" t="s">
        <v>182</v>
      </c>
      <c r="C3" s="63">
        <v>1994</v>
      </c>
      <c r="D3" s="63" t="s">
        <v>183</v>
      </c>
      <c r="E3" s="62" t="s">
        <v>243</v>
      </c>
      <c r="F3" s="62" t="s">
        <v>243</v>
      </c>
      <c r="G3" s="63" t="s">
        <v>245</v>
      </c>
      <c r="H3" s="62">
        <v>1994</v>
      </c>
      <c r="I3" s="62">
        <v>6272</v>
      </c>
      <c r="J3" s="62"/>
      <c r="K3" s="19"/>
    </row>
    <row r="4" spans="1:11" x14ac:dyDescent="0.3">
      <c r="A4" s="20" t="s">
        <v>181</v>
      </c>
      <c r="B4" s="1" t="s">
        <v>182</v>
      </c>
      <c r="C4" s="63">
        <v>2003</v>
      </c>
      <c r="D4" s="63" t="s">
        <v>183</v>
      </c>
      <c r="E4" s="62" t="s">
        <v>243</v>
      </c>
      <c r="F4" s="62" t="s">
        <v>243</v>
      </c>
      <c r="G4" s="63" t="s">
        <v>245</v>
      </c>
      <c r="H4" s="62">
        <v>2003</v>
      </c>
      <c r="I4" s="62">
        <v>7133</v>
      </c>
      <c r="J4" s="62"/>
      <c r="K4" s="19"/>
    </row>
    <row r="5" spans="1:11" x14ac:dyDescent="0.3">
      <c r="A5" s="20" t="s">
        <v>181</v>
      </c>
      <c r="B5" s="1" t="s">
        <v>182</v>
      </c>
      <c r="C5" s="63">
        <v>2003</v>
      </c>
      <c r="D5" s="63" t="s">
        <v>183</v>
      </c>
      <c r="E5" s="62" t="s">
        <v>541</v>
      </c>
      <c r="F5" s="62" t="s">
        <v>542</v>
      </c>
      <c r="G5" s="63" t="s">
        <v>245</v>
      </c>
      <c r="H5" s="62">
        <v>2003</v>
      </c>
      <c r="I5" s="62">
        <v>29</v>
      </c>
      <c r="J5" s="62"/>
      <c r="K5" s="19"/>
    </row>
    <row r="6" spans="1:11" x14ac:dyDescent="0.3">
      <c r="A6" s="20" t="s">
        <v>181</v>
      </c>
      <c r="B6" s="1" t="s">
        <v>182</v>
      </c>
      <c r="C6" s="63">
        <v>2003</v>
      </c>
      <c r="D6" s="63" t="s">
        <v>183</v>
      </c>
      <c r="E6" s="62" t="s">
        <v>541</v>
      </c>
      <c r="F6" s="62" t="s">
        <v>182</v>
      </c>
      <c r="G6" s="63" t="s">
        <v>245</v>
      </c>
      <c r="H6" s="62">
        <v>2003</v>
      </c>
      <c r="I6" s="62">
        <f>7133-29</f>
        <v>7104</v>
      </c>
      <c r="J6" s="62"/>
      <c r="K6" s="19"/>
    </row>
    <row r="7" spans="1:11" x14ac:dyDescent="0.3">
      <c r="A7" s="20" t="s">
        <v>181</v>
      </c>
      <c r="B7" s="1" t="s">
        <v>182</v>
      </c>
      <c r="C7" s="58">
        <v>2010</v>
      </c>
      <c r="D7" s="58" t="s">
        <v>183</v>
      </c>
      <c r="E7" s="1" t="s">
        <v>240</v>
      </c>
      <c r="F7" s="1" t="s">
        <v>241</v>
      </c>
      <c r="G7" s="63" t="s">
        <v>245</v>
      </c>
      <c r="H7" s="1">
        <v>2005</v>
      </c>
      <c r="I7" s="1">
        <v>6432</v>
      </c>
    </row>
    <row r="8" spans="1:11" x14ac:dyDescent="0.3">
      <c r="A8" s="20" t="s">
        <v>181</v>
      </c>
      <c r="B8" s="1" t="s">
        <v>182</v>
      </c>
      <c r="C8" s="58">
        <v>2010</v>
      </c>
      <c r="D8" s="58" t="s">
        <v>183</v>
      </c>
      <c r="E8" s="1" t="s">
        <v>240</v>
      </c>
      <c r="F8" s="1" t="s">
        <v>242</v>
      </c>
      <c r="G8" s="63" t="s">
        <v>245</v>
      </c>
      <c r="H8" s="1">
        <v>2005</v>
      </c>
      <c r="I8" s="1">
        <v>701</v>
      </c>
    </row>
    <row r="9" spans="1:11" x14ac:dyDescent="0.3">
      <c r="A9" s="20" t="s">
        <v>181</v>
      </c>
      <c r="B9" s="1" t="s">
        <v>182</v>
      </c>
      <c r="C9" s="58">
        <v>2010</v>
      </c>
      <c r="D9" s="58" t="s">
        <v>183</v>
      </c>
      <c r="E9" s="1" t="s">
        <v>240</v>
      </c>
      <c r="F9" s="1" t="s">
        <v>243</v>
      </c>
      <c r="G9" s="63" t="s">
        <v>245</v>
      </c>
      <c r="H9" s="1">
        <v>2005</v>
      </c>
      <c r="I9" s="1">
        <v>7133</v>
      </c>
    </row>
    <row r="10" spans="1:11" x14ac:dyDescent="0.3">
      <c r="A10" s="20" t="s">
        <v>181</v>
      </c>
      <c r="B10" s="1" t="s">
        <v>182</v>
      </c>
      <c r="C10" s="58">
        <v>2010</v>
      </c>
      <c r="D10" s="58" t="s">
        <v>183</v>
      </c>
      <c r="E10" s="1" t="s">
        <v>240</v>
      </c>
      <c r="F10" s="1" t="s">
        <v>241</v>
      </c>
      <c r="G10" s="63" t="s">
        <v>245</v>
      </c>
      <c r="H10" s="1">
        <v>2006</v>
      </c>
      <c r="I10" s="1">
        <v>6494</v>
      </c>
    </row>
    <row r="11" spans="1:11" x14ac:dyDescent="0.3">
      <c r="A11" s="20" t="s">
        <v>181</v>
      </c>
      <c r="B11" s="1" t="s">
        <v>182</v>
      </c>
      <c r="C11" s="58">
        <v>2010</v>
      </c>
      <c r="D11" s="58" t="s">
        <v>183</v>
      </c>
      <c r="E11" s="1" t="s">
        <v>240</v>
      </c>
      <c r="F11" s="1" t="s">
        <v>242</v>
      </c>
      <c r="G11" s="63" t="s">
        <v>245</v>
      </c>
      <c r="H11" s="1">
        <v>2006</v>
      </c>
      <c r="I11" s="1">
        <v>698</v>
      </c>
    </row>
    <row r="12" spans="1:11" x14ac:dyDescent="0.3">
      <c r="A12" s="20" t="s">
        <v>181</v>
      </c>
      <c r="B12" s="1" t="s">
        <v>182</v>
      </c>
      <c r="C12" s="58">
        <v>2010</v>
      </c>
      <c r="D12" s="58" t="s">
        <v>183</v>
      </c>
      <c r="E12" s="1" t="s">
        <v>240</v>
      </c>
      <c r="F12" s="1" t="s">
        <v>243</v>
      </c>
      <c r="G12" s="63" t="s">
        <v>245</v>
      </c>
      <c r="H12" s="1">
        <v>2006</v>
      </c>
      <c r="I12" s="1">
        <v>7192</v>
      </c>
    </row>
    <row r="13" spans="1:11" x14ac:dyDescent="0.3">
      <c r="A13" s="20" t="s">
        <v>181</v>
      </c>
      <c r="B13" s="1" t="s">
        <v>182</v>
      </c>
      <c r="C13" s="58">
        <v>2010</v>
      </c>
      <c r="D13" s="58" t="s">
        <v>183</v>
      </c>
      <c r="E13" s="1" t="s">
        <v>240</v>
      </c>
      <c r="F13" s="1" t="s">
        <v>241</v>
      </c>
      <c r="G13" s="63" t="s">
        <v>245</v>
      </c>
      <c r="H13" s="1">
        <v>2007</v>
      </c>
      <c r="I13" s="1">
        <v>6522</v>
      </c>
    </row>
    <row r="14" spans="1:11" x14ac:dyDescent="0.3">
      <c r="A14" s="20" t="s">
        <v>181</v>
      </c>
      <c r="B14" s="1" t="s">
        <v>182</v>
      </c>
      <c r="C14" s="58">
        <v>2010</v>
      </c>
      <c r="D14" s="58" t="s">
        <v>183</v>
      </c>
      <c r="E14" s="1" t="s">
        <v>240</v>
      </c>
      <c r="F14" s="1" t="s">
        <v>242</v>
      </c>
      <c r="G14" s="63" t="s">
        <v>245</v>
      </c>
      <c r="H14" s="1">
        <v>2007</v>
      </c>
      <c r="I14" s="1">
        <v>691</v>
      </c>
    </row>
    <row r="15" spans="1:11" x14ac:dyDescent="0.3">
      <c r="A15" s="20" t="s">
        <v>181</v>
      </c>
      <c r="B15" s="1" t="s">
        <v>182</v>
      </c>
      <c r="C15" s="58">
        <v>2010</v>
      </c>
      <c r="D15" s="58" t="s">
        <v>183</v>
      </c>
      <c r="E15" s="1" t="s">
        <v>240</v>
      </c>
      <c r="F15" s="1" t="s">
        <v>243</v>
      </c>
      <c r="G15" s="63" t="s">
        <v>245</v>
      </c>
      <c r="H15" s="1">
        <v>2007</v>
      </c>
      <c r="I15" s="1">
        <v>7213</v>
      </c>
    </row>
    <row r="16" spans="1:11" x14ac:dyDescent="0.3">
      <c r="A16" s="20" t="s">
        <v>181</v>
      </c>
      <c r="B16" s="1" t="s">
        <v>182</v>
      </c>
      <c r="C16" s="58">
        <v>2010</v>
      </c>
      <c r="D16" s="58" t="s">
        <v>183</v>
      </c>
      <c r="E16" s="1" t="s">
        <v>240</v>
      </c>
      <c r="F16" s="1" t="s">
        <v>241</v>
      </c>
      <c r="G16" s="63" t="s">
        <v>245</v>
      </c>
      <c r="H16" s="1">
        <v>2008</v>
      </c>
      <c r="I16" s="1">
        <v>6539</v>
      </c>
    </row>
    <row r="17" spans="1:10" x14ac:dyDescent="0.3">
      <c r="A17" s="20" t="s">
        <v>181</v>
      </c>
      <c r="B17" s="1" t="s">
        <v>182</v>
      </c>
      <c r="C17" s="58">
        <v>2010</v>
      </c>
      <c r="D17" s="58" t="s">
        <v>183</v>
      </c>
      <c r="E17" s="1" t="s">
        <v>240</v>
      </c>
      <c r="F17" s="1" t="s">
        <v>242</v>
      </c>
      <c r="G17" s="63" t="s">
        <v>245</v>
      </c>
      <c r="H17" s="1">
        <v>2008</v>
      </c>
      <c r="I17" s="1">
        <v>716</v>
      </c>
    </row>
    <row r="18" spans="1:10" x14ac:dyDescent="0.3">
      <c r="A18" s="20" t="s">
        <v>181</v>
      </c>
      <c r="B18" s="1" t="s">
        <v>182</v>
      </c>
      <c r="C18" s="58">
        <v>2010</v>
      </c>
      <c r="D18" s="58" t="s">
        <v>183</v>
      </c>
      <c r="E18" s="1" t="s">
        <v>240</v>
      </c>
      <c r="F18" s="1" t="s">
        <v>243</v>
      </c>
      <c r="G18" s="63" t="s">
        <v>245</v>
      </c>
      <c r="H18" s="1">
        <v>2008</v>
      </c>
      <c r="I18" s="1">
        <v>7255</v>
      </c>
    </row>
    <row r="19" spans="1:10" x14ac:dyDescent="0.3">
      <c r="A19" s="20" t="s">
        <v>181</v>
      </c>
      <c r="B19" s="1" t="s">
        <v>182</v>
      </c>
      <c r="C19" s="58">
        <v>2010</v>
      </c>
      <c r="D19" s="58" t="s">
        <v>183</v>
      </c>
      <c r="E19" s="1" t="s">
        <v>240</v>
      </c>
      <c r="F19" s="1" t="s">
        <v>241</v>
      </c>
      <c r="G19" s="63" t="s">
        <v>245</v>
      </c>
      <c r="H19" s="1">
        <v>2009</v>
      </c>
      <c r="I19" s="1">
        <v>6549</v>
      </c>
    </row>
    <row r="20" spans="1:10" x14ac:dyDescent="0.3">
      <c r="A20" s="20" t="s">
        <v>181</v>
      </c>
      <c r="B20" s="1" t="s">
        <v>182</v>
      </c>
      <c r="C20" s="58">
        <v>2010</v>
      </c>
      <c r="D20" s="58" t="s">
        <v>183</v>
      </c>
      <c r="E20" s="1" t="s">
        <v>240</v>
      </c>
      <c r="F20" s="1" t="s">
        <v>242</v>
      </c>
      <c r="G20" s="63" t="s">
        <v>245</v>
      </c>
      <c r="H20" s="1">
        <v>2009</v>
      </c>
      <c r="I20" s="1">
        <v>687</v>
      </c>
    </row>
    <row r="21" spans="1:10" x14ac:dyDescent="0.3">
      <c r="A21" s="20" t="s">
        <v>181</v>
      </c>
      <c r="B21" s="1" t="s">
        <v>182</v>
      </c>
      <c r="C21" s="58">
        <v>2010</v>
      </c>
      <c r="D21" s="58" t="s">
        <v>183</v>
      </c>
      <c r="E21" s="1" t="s">
        <v>240</v>
      </c>
      <c r="F21" s="1" t="s">
        <v>243</v>
      </c>
      <c r="G21" s="63" t="s">
        <v>245</v>
      </c>
      <c r="H21" s="1">
        <v>2009</v>
      </c>
      <c r="I21" s="1">
        <v>7236</v>
      </c>
    </row>
    <row r="22" spans="1:10" x14ac:dyDescent="0.3">
      <c r="A22" s="20" t="s">
        <v>181</v>
      </c>
      <c r="B22" s="1" t="s">
        <v>182</v>
      </c>
      <c r="C22" s="58">
        <v>2017</v>
      </c>
      <c r="D22" s="58" t="s">
        <v>183</v>
      </c>
      <c r="E22" s="1" t="s">
        <v>240</v>
      </c>
      <c r="F22" s="1" t="s">
        <v>241</v>
      </c>
      <c r="G22" s="63" t="s">
        <v>245</v>
      </c>
      <c r="H22" s="1">
        <v>2012</v>
      </c>
      <c r="I22" s="1">
        <v>6550</v>
      </c>
    </row>
    <row r="23" spans="1:10" x14ac:dyDescent="0.3">
      <c r="A23" s="20" t="s">
        <v>181</v>
      </c>
      <c r="B23" s="1" t="s">
        <v>182</v>
      </c>
      <c r="C23" s="58">
        <v>2017</v>
      </c>
      <c r="D23" s="58" t="s">
        <v>183</v>
      </c>
      <c r="E23" s="1" t="s">
        <v>240</v>
      </c>
      <c r="F23" s="1" t="s">
        <v>242</v>
      </c>
      <c r="G23" s="63" t="s">
        <v>245</v>
      </c>
      <c r="H23" s="1">
        <v>2012</v>
      </c>
      <c r="I23" s="1">
        <v>686</v>
      </c>
    </row>
    <row r="24" spans="1:10" x14ac:dyDescent="0.3">
      <c r="A24" s="20" t="s">
        <v>181</v>
      </c>
      <c r="B24" s="1" t="s">
        <v>182</v>
      </c>
      <c r="C24" s="58">
        <v>2017</v>
      </c>
      <c r="D24" s="58" t="s">
        <v>183</v>
      </c>
      <c r="E24" s="1" t="s">
        <v>240</v>
      </c>
      <c r="F24" s="1" t="s">
        <v>243</v>
      </c>
      <c r="G24" s="63" t="s">
        <v>245</v>
      </c>
      <c r="H24" s="1">
        <v>2012</v>
      </c>
      <c r="I24" s="1">
        <v>7236</v>
      </c>
    </row>
    <row r="25" spans="1:10" x14ac:dyDescent="0.3">
      <c r="A25" s="20" t="s">
        <v>181</v>
      </c>
      <c r="B25" s="1" t="s">
        <v>182</v>
      </c>
      <c r="C25" s="58">
        <v>2017</v>
      </c>
      <c r="D25" s="58" t="s">
        <v>183</v>
      </c>
      <c r="E25" s="1" t="s">
        <v>240</v>
      </c>
      <c r="F25" s="1" t="s">
        <v>241</v>
      </c>
      <c r="G25" s="63" t="s">
        <v>245</v>
      </c>
      <c r="H25" s="1">
        <v>2013</v>
      </c>
      <c r="I25" s="1">
        <v>6562</v>
      </c>
    </row>
    <row r="26" spans="1:10" x14ac:dyDescent="0.3">
      <c r="A26" s="20" t="s">
        <v>181</v>
      </c>
      <c r="B26" s="1" t="s">
        <v>182</v>
      </c>
      <c r="C26" s="58">
        <v>2017</v>
      </c>
      <c r="D26" s="58" t="s">
        <v>183</v>
      </c>
      <c r="E26" s="1" t="s">
        <v>240</v>
      </c>
      <c r="F26" s="1" t="s">
        <v>242</v>
      </c>
      <c r="G26" s="63" t="s">
        <v>245</v>
      </c>
      <c r="H26" s="1">
        <v>2013</v>
      </c>
      <c r="I26" s="1">
        <v>681</v>
      </c>
    </row>
    <row r="27" spans="1:10" x14ac:dyDescent="0.3">
      <c r="A27" s="20" t="s">
        <v>181</v>
      </c>
      <c r="B27" s="1" t="s">
        <v>182</v>
      </c>
      <c r="C27" s="58">
        <v>2017</v>
      </c>
      <c r="D27" s="58" t="s">
        <v>183</v>
      </c>
      <c r="E27" s="1" t="s">
        <v>240</v>
      </c>
      <c r="F27" s="1" t="s">
        <v>243</v>
      </c>
      <c r="G27" s="63" t="s">
        <v>245</v>
      </c>
      <c r="H27" s="1">
        <v>2013</v>
      </c>
      <c r="I27" s="1">
        <v>7243</v>
      </c>
    </row>
    <row r="28" spans="1:10" x14ac:dyDescent="0.3">
      <c r="A28" s="20" t="s">
        <v>181</v>
      </c>
      <c r="B28" s="1" t="s">
        <v>182</v>
      </c>
      <c r="C28" s="58">
        <v>2017</v>
      </c>
      <c r="D28" s="58" t="s">
        <v>183</v>
      </c>
      <c r="E28" s="1" t="s">
        <v>240</v>
      </c>
      <c r="F28" s="1" t="s">
        <v>241</v>
      </c>
      <c r="G28" s="63" t="s">
        <v>245</v>
      </c>
      <c r="H28" s="1">
        <v>2014</v>
      </c>
      <c r="I28" s="1">
        <v>6581</v>
      </c>
    </row>
    <row r="29" spans="1:10" x14ac:dyDescent="0.3">
      <c r="A29" s="20" t="s">
        <v>181</v>
      </c>
      <c r="B29" s="1" t="s">
        <v>182</v>
      </c>
      <c r="C29" s="58">
        <v>2017</v>
      </c>
      <c r="D29" s="58" t="s">
        <v>183</v>
      </c>
      <c r="E29" s="1" t="s">
        <v>240</v>
      </c>
      <c r="F29" s="1" t="s">
        <v>242</v>
      </c>
      <c r="G29" s="63" t="s">
        <v>245</v>
      </c>
      <c r="H29" s="1">
        <v>2014</v>
      </c>
      <c r="I29" s="1">
        <v>684</v>
      </c>
    </row>
    <row r="30" spans="1:10" x14ac:dyDescent="0.3">
      <c r="A30" s="20" t="s">
        <v>181</v>
      </c>
      <c r="B30" s="1" t="s">
        <v>182</v>
      </c>
      <c r="C30" s="58">
        <v>2017</v>
      </c>
      <c r="D30" s="58" t="s">
        <v>183</v>
      </c>
      <c r="E30" s="1" t="s">
        <v>240</v>
      </c>
      <c r="F30" s="1" t="s">
        <v>243</v>
      </c>
      <c r="G30" s="63" t="s">
        <v>245</v>
      </c>
      <c r="H30" s="1">
        <v>2014</v>
      </c>
      <c r="I30" s="1">
        <v>7256</v>
      </c>
    </row>
    <row r="31" spans="1:10" x14ac:dyDescent="0.3">
      <c r="A31" s="20" t="s">
        <v>181</v>
      </c>
      <c r="B31" s="1" t="s">
        <v>182</v>
      </c>
      <c r="C31" s="58">
        <v>2017</v>
      </c>
      <c r="D31" s="58" t="s">
        <v>183</v>
      </c>
      <c r="E31" s="1" t="s">
        <v>240</v>
      </c>
      <c r="F31" s="1" t="s">
        <v>241</v>
      </c>
      <c r="G31" s="63" t="s">
        <v>245</v>
      </c>
      <c r="H31" s="1">
        <v>2015</v>
      </c>
      <c r="I31" s="1">
        <v>6688</v>
      </c>
      <c r="J31" s="66" t="s">
        <v>244</v>
      </c>
    </row>
    <row r="32" spans="1:10" x14ac:dyDescent="0.3">
      <c r="A32" s="20" t="s">
        <v>181</v>
      </c>
      <c r="B32" s="1" t="s">
        <v>182</v>
      </c>
      <c r="C32" s="58">
        <v>2017</v>
      </c>
      <c r="D32" s="58" t="s">
        <v>183</v>
      </c>
      <c r="E32" s="1" t="s">
        <v>240</v>
      </c>
      <c r="F32" s="1" t="s">
        <v>242</v>
      </c>
      <c r="G32" s="63" t="s">
        <v>245</v>
      </c>
      <c r="H32" s="1">
        <v>2015</v>
      </c>
      <c r="I32" s="1">
        <v>728</v>
      </c>
      <c r="J32" s="66" t="s">
        <v>244</v>
      </c>
    </row>
    <row r="33" spans="1:10" x14ac:dyDescent="0.3">
      <c r="A33" s="20" t="s">
        <v>181</v>
      </c>
      <c r="B33" s="1" t="s">
        <v>182</v>
      </c>
      <c r="C33" s="58">
        <v>2017</v>
      </c>
      <c r="D33" s="58" t="s">
        <v>183</v>
      </c>
      <c r="E33" s="1" t="s">
        <v>240</v>
      </c>
      <c r="F33" s="1" t="s">
        <v>243</v>
      </c>
      <c r="G33" s="63" t="s">
        <v>245</v>
      </c>
      <c r="H33" s="1">
        <v>2015</v>
      </c>
      <c r="I33" s="1">
        <v>7416</v>
      </c>
      <c r="J33" s="66" t="s">
        <v>244</v>
      </c>
    </row>
    <row r="34" spans="1:10" x14ac:dyDescent="0.3">
      <c r="A34" s="20" t="s">
        <v>181</v>
      </c>
      <c r="B34" s="1" t="s">
        <v>182</v>
      </c>
      <c r="C34" s="58">
        <v>2017</v>
      </c>
      <c r="D34" s="58" t="s">
        <v>183</v>
      </c>
      <c r="E34" s="1" t="s">
        <v>240</v>
      </c>
      <c r="F34" s="1" t="s">
        <v>241</v>
      </c>
      <c r="G34" s="63" t="s">
        <v>245</v>
      </c>
      <c r="H34" s="1">
        <v>2016</v>
      </c>
      <c r="I34" s="1">
        <v>6687</v>
      </c>
    </row>
    <row r="35" spans="1:10" x14ac:dyDescent="0.3">
      <c r="A35" s="20" t="s">
        <v>181</v>
      </c>
      <c r="B35" s="1" t="s">
        <v>182</v>
      </c>
      <c r="C35" s="58">
        <v>2017</v>
      </c>
      <c r="D35" s="58" t="s">
        <v>183</v>
      </c>
      <c r="E35" s="1" t="s">
        <v>240</v>
      </c>
      <c r="F35" s="1" t="s">
        <v>242</v>
      </c>
      <c r="G35" s="63" t="s">
        <v>245</v>
      </c>
      <c r="H35" s="1">
        <v>2016</v>
      </c>
      <c r="I35" s="1">
        <v>729</v>
      </c>
    </row>
    <row r="36" spans="1:10" x14ac:dyDescent="0.3">
      <c r="A36" s="20" t="s">
        <v>181</v>
      </c>
      <c r="B36" s="1" t="s">
        <v>182</v>
      </c>
      <c r="C36" s="58">
        <v>2017</v>
      </c>
      <c r="D36" s="58" t="s">
        <v>183</v>
      </c>
      <c r="E36" s="1" t="s">
        <v>240</v>
      </c>
      <c r="F36" s="1" t="s">
        <v>243</v>
      </c>
      <c r="G36" s="63" t="s">
        <v>245</v>
      </c>
      <c r="H36" s="1">
        <v>2016</v>
      </c>
      <c r="I36" s="1">
        <v>7416</v>
      </c>
    </row>
    <row r="37" spans="1:10" x14ac:dyDescent="0.3">
      <c r="A37" s="20" t="s">
        <v>181</v>
      </c>
      <c r="B37" s="1" t="s">
        <v>182</v>
      </c>
      <c r="C37" s="58">
        <v>2017</v>
      </c>
      <c r="D37" s="58" t="s">
        <v>183</v>
      </c>
      <c r="E37" s="1" t="s">
        <v>240</v>
      </c>
      <c r="F37" s="1" t="s">
        <v>243</v>
      </c>
      <c r="G37" s="63" t="s">
        <v>245</v>
      </c>
      <c r="H37" s="1">
        <v>1969</v>
      </c>
      <c r="I37" s="1">
        <v>3677</v>
      </c>
    </row>
    <row r="38" spans="1:10" x14ac:dyDescent="0.3">
      <c r="A38" s="20" t="s">
        <v>181</v>
      </c>
      <c r="B38" s="1" t="s">
        <v>182</v>
      </c>
      <c r="C38" s="58">
        <v>2002</v>
      </c>
      <c r="D38" s="58" t="s">
        <v>381</v>
      </c>
      <c r="E38" s="1" t="s">
        <v>240</v>
      </c>
      <c r="F38" s="1" t="s">
        <v>241</v>
      </c>
      <c r="G38" s="63" t="s">
        <v>245</v>
      </c>
      <c r="H38" s="1">
        <v>2001</v>
      </c>
      <c r="I38" s="1">
        <v>4224</v>
      </c>
    </row>
    <row r="39" spans="1:10" x14ac:dyDescent="0.3">
      <c r="A39" s="20" t="s">
        <v>181</v>
      </c>
      <c r="B39" s="1" t="s">
        <v>182</v>
      </c>
      <c r="C39" s="58">
        <v>2002</v>
      </c>
      <c r="D39" s="58" t="s">
        <v>381</v>
      </c>
      <c r="E39" s="1" t="s">
        <v>240</v>
      </c>
      <c r="F39" s="1" t="s">
        <v>412</v>
      </c>
      <c r="G39" s="63" t="s">
        <v>245</v>
      </c>
      <c r="H39" s="1">
        <v>2001</v>
      </c>
      <c r="I39" s="1">
        <v>351</v>
      </c>
    </row>
    <row r="40" spans="1:10" x14ac:dyDescent="0.3">
      <c r="A40" s="20" t="s">
        <v>181</v>
      </c>
      <c r="B40" s="1" t="s">
        <v>182</v>
      </c>
      <c r="C40" s="58">
        <v>2002</v>
      </c>
      <c r="D40" s="58" t="s">
        <v>381</v>
      </c>
      <c r="E40" s="1" t="s">
        <v>240</v>
      </c>
      <c r="F40" s="1" t="s">
        <v>411</v>
      </c>
      <c r="G40" s="63" t="s">
        <v>245</v>
      </c>
      <c r="H40" s="1">
        <v>2001</v>
      </c>
      <c r="I40" s="1">
        <v>70</v>
      </c>
    </row>
    <row r="41" spans="1:10" x14ac:dyDescent="0.3">
      <c r="A41" s="20" t="s">
        <v>181</v>
      </c>
      <c r="B41" s="1" t="s">
        <v>182</v>
      </c>
      <c r="C41" s="58">
        <v>2002</v>
      </c>
      <c r="D41" s="58" t="s">
        <v>381</v>
      </c>
      <c r="E41" s="1" t="s">
        <v>240</v>
      </c>
      <c r="F41" s="1" t="s">
        <v>243</v>
      </c>
      <c r="G41" s="63" t="s">
        <v>245</v>
      </c>
      <c r="H41" s="1">
        <v>2001</v>
      </c>
      <c r="I41" s="1">
        <v>4645</v>
      </c>
    </row>
    <row r="42" spans="1:10" x14ac:dyDescent="0.3">
      <c r="A42" s="20" t="s">
        <v>181</v>
      </c>
      <c r="B42" s="1" t="s">
        <v>182</v>
      </c>
      <c r="C42" s="58">
        <v>2005</v>
      </c>
      <c r="D42" s="58" t="s">
        <v>381</v>
      </c>
      <c r="E42" s="1" t="s">
        <v>240</v>
      </c>
      <c r="F42" s="1" t="s">
        <v>241</v>
      </c>
      <c r="G42" s="63" t="s">
        <v>245</v>
      </c>
      <c r="H42" s="1">
        <v>2004</v>
      </c>
      <c r="I42" s="1">
        <v>4182</v>
      </c>
    </row>
    <row r="43" spans="1:10" x14ac:dyDescent="0.3">
      <c r="A43" s="20" t="s">
        <v>181</v>
      </c>
      <c r="B43" s="1" t="s">
        <v>182</v>
      </c>
      <c r="C43" s="58">
        <v>2005</v>
      </c>
      <c r="D43" s="58" t="s">
        <v>381</v>
      </c>
      <c r="E43" s="1" t="s">
        <v>240</v>
      </c>
      <c r="F43" s="1" t="s">
        <v>412</v>
      </c>
      <c r="G43" s="63" t="s">
        <v>245</v>
      </c>
      <c r="H43" s="1">
        <v>2004</v>
      </c>
      <c r="I43" s="1">
        <v>370</v>
      </c>
    </row>
    <row r="44" spans="1:10" x14ac:dyDescent="0.3">
      <c r="A44" s="20" t="s">
        <v>181</v>
      </c>
      <c r="B44" s="1" t="s">
        <v>182</v>
      </c>
      <c r="C44" s="58">
        <v>2005</v>
      </c>
      <c r="D44" s="58" t="s">
        <v>381</v>
      </c>
      <c r="E44" s="1" t="s">
        <v>240</v>
      </c>
      <c r="F44" s="1" t="s">
        <v>411</v>
      </c>
      <c r="G44" s="63" t="s">
        <v>245</v>
      </c>
      <c r="H44" s="1">
        <v>2004</v>
      </c>
      <c r="I44" s="1">
        <v>85</v>
      </c>
    </row>
    <row r="45" spans="1:10" x14ac:dyDescent="0.3">
      <c r="A45" s="20" t="s">
        <v>181</v>
      </c>
      <c r="B45" s="1" t="s">
        <v>182</v>
      </c>
      <c r="C45" s="58">
        <v>2005</v>
      </c>
      <c r="D45" s="58" t="s">
        <v>381</v>
      </c>
      <c r="E45" s="1" t="s">
        <v>240</v>
      </c>
      <c r="F45" s="1" t="s">
        <v>243</v>
      </c>
      <c r="G45" s="63" t="s">
        <v>245</v>
      </c>
      <c r="H45" s="1">
        <v>2004</v>
      </c>
      <c r="I45" s="1">
        <v>4637</v>
      </c>
    </row>
    <row r="46" spans="1:10" x14ac:dyDescent="0.3">
      <c r="A46" s="20" t="s">
        <v>181</v>
      </c>
      <c r="B46" s="1" t="s">
        <v>182</v>
      </c>
      <c r="C46" s="58">
        <v>2010</v>
      </c>
      <c r="D46" s="58" t="s">
        <v>381</v>
      </c>
      <c r="E46" s="1" t="s">
        <v>240</v>
      </c>
      <c r="F46" s="1" t="s">
        <v>241</v>
      </c>
      <c r="G46" s="63" t="s">
        <v>245</v>
      </c>
      <c r="H46" s="1">
        <v>2009</v>
      </c>
      <c r="I46" s="1">
        <v>4151</v>
      </c>
    </row>
    <row r="47" spans="1:10" x14ac:dyDescent="0.3">
      <c r="A47" s="20" t="s">
        <v>181</v>
      </c>
      <c r="B47" s="1" t="s">
        <v>182</v>
      </c>
      <c r="C47" s="58">
        <v>2010</v>
      </c>
      <c r="D47" s="58" t="s">
        <v>381</v>
      </c>
      <c r="E47" s="1" t="s">
        <v>240</v>
      </c>
      <c r="F47" s="1" t="s">
        <v>412</v>
      </c>
      <c r="G47" s="63" t="s">
        <v>245</v>
      </c>
      <c r="H47" s="1">
        <v>2009</v>
      </c>
      <c r="I47" s="1">
        <v>368</v>
      </c>
    </row>
    <row r="48" spans="1:10" x14ac:dyDescent="0.3">
      <c r="A48" s="20" t="s">
        <v>181</v>
      </c>
      <c r="B48" s="1" t="s">
        <v>182</v>
      </c>
      <c r="C48" s="58">
        <v>2010</v>
      </c>
      <c r="D48" s="58" t="s">
        <v>381</v>
      </c>
      <c r="E48" s="1" t="s">
        <v>240</v>
      </c>
      <c r="F48" s="1" t="s">
        <v>411</v>
      </c>
      <c r="G48" s="63" t="s">
        <v>245</v>
      </c>
      <c r="H48" s="1">
        <v>2009</v>
      </c>
      <c r="I48" s="1">
        <v>81</v>
      </c>
    </row>
    <row r="49" spans="1:9" x14ac:dyDescent="0.3">
      <c r="A49" s="20" t="s">
        <v>181</v>
      </c>
      <c r="B49" s="1" t="s">
        <v>182</v>
      </c>
      <c r="C49" s="58">
        <v>2010</v>
      </c>
      <c r="D49" s="58" t="s">
        <v>381</v>
      </c>
      <c r="E49" s="1" t="s">
        <v>240</v>
      </c>
      <c r="F49" s="1" t="s">
        <v>243</v>
      </c>
      <c r="G49" s="63" t="s">
        <v>245</v>
      </c>
      <c r="H49" s="1">
        <v>2009</v>
      </c>
      <c r="I49" s="1">
        <v>4600</v>
      </c>
    </row>
    <row r="50" spans="1:9" x14ac:dyDescent="0.3">
      <c r="A50" s="20" t="s">
        <v>181</v>
      </c>
      <c r="B50" s="1" t="s">
        <v>182</v>
      </c>
      <c r="C50" s="58">
        <v>2015</v>
      </c>
      <c r="D50" s="58" t="s">
        <v>381</v>
      </c>
      <c r="E50" s="1" t="s">
        <v>240</v>
      </c>
      <c r="F50" s="1" t="s">
        <v>241</v>
      </c>
      <c r="G50" s="63" t="s">
        <v>245</v>
      </c>
      <c r="H50" s="1">
        <v>2014</v>
      </c>
      <c r="I50" s="1">
        <v>4128</v>
      </c>
    </row>
    <row r="51" spans="1:9" x14ac:dyDescent="0.3">
      <c r="A51" s="20" t="s">
        <v>181</v>
      </c>
      <c r="B51" s="1" t="s">
        <v>182</v>
      </c>
      <c r="C51" s="58">
        <v>2015</v>
      </c>
      <c r="D51" s="58" t="s">
        <v>381</v>
      </c>
      <c r="E51" s="1" t="s">
        <v>240</v>
      </c>
      <c r="F51" s="1" t="s">
        <v>412</v>
      </c>
      <c r="G51" s="63" t="s">
        <v>245</v>
      </c>
      <c r="H51" s="1">
        <v>2014</v>
      </c>
      <c r="I51" s="1">
        <v>363</v>
      </c>
    </row>
    <row r="52" spans="1:9" x14ac:dyDescent="0.3">
      <c r="A52" s="20" t="s">
        <v>181</v>
      </c>
      <c r="B52" s="1" t="s">
        <v>182</v>
      </c>
      <c r="C52" s="58">
        <v>2015</v>
      </c>
      <c r="D52" s="58" t="s">
        <v>381</v>
      </c>
      <c r="E52" s="1" t="s">
        <v>240</v>
      </c>
      <c r="F52" s="1" t="s">
        <v>411</v>
      </c>
      <c r="G52" s="63" t="s">
        <v>245</v>
      </c>
      <c r="H52" s="1">
        <v>2014</v>
      </c>
      <c r="I52" s="1">
        <v>82</v>
      </c>
    </row>
    <row r="53" spans="1:9" x14ac:dyDescent="0.3">
      <c r="A53" s="20" t="s">
        <v>181</v>
      </c>
      <c r="B53" s="1" t="s">
        <v>182</v>
      </c>
      <c r="C53" s="58">
        <v>2015</v>
      </c>
      <c r="D53" s="58" t="s">
        <v>381</v>
      </c>
      <c r="E53" s="1" t="s">
        <v>240</v>
      </c>
      <c r="F53" s="1" t="s">
        <v>243</v>
      </c>
      <c r="G53" s="63" t="s">
        <v>245</v>
      </c>
      <c r="H53" s="1">
        <v>2014</v>
      </c>
      <c r="I53" s="1">
        <v>4573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0" workbookViewId="0">
      <selection activeCell="J27" sqref="J27"/>
    </sheetView>
  </sheetViews>
  <sheetFormatPr defaultColWidth="8.77734375" defaultRowHeight="14.4" x14ac:dyDescent="0.3"/>
  <cols>
    <col min="1" max="3" width="8.77734375" style="1"/>
    <col min="4" max="4" width="11.109375" style="1" bestFit="1" customWidth="1"/>
    <col min="5" max="5" width="18.44140625" style="1" customWidth="1"/>
    <col min="6" max="16384" width="8.777343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134</v>
      </c>
      <c r="F1" s="2" t="s">
        <v>137</v>
      </c>
      <c r="G1" s="2" t="s">
        <v>135</v>
      </c>
      <c r="H1" s="2" t="s">
        <v>110</v>
      </c>
      <c r="I1" s="2" t="s">
        <v>138</v>
      </c>
      <c r="J1" s="2" t="s">
        <v>176</v>
      </c>
      <c r="K1" s="4" t="s">
        <v>139</v>
      </c>
      <c r="L1" s="4" t="s">
        <v>177</v>
      </c>
      <c r="M1" s="4" t="s">
        <v>96</v>
      </c>
    </row>
    <row r="2" spans="1:13" x14ac:dyDescent="0.3">
      <c r="A2" s="64" t="s">
        <v>181</v>
      </c>
      <c r="B2" s="1" t="s">
        <v>182</v>
      </c>
      <c r="C2" s="1">
        <v>1994</v>
      </c>
      <c r="D2" s="1" t="s">
        <v>183</v>
      </c>
      <c r="E2" s="1" t="s">
        <v>247</v>
      </c>
      <c r="F2" s="1" t="s">
        <v>245</v>
      </c>
      <c r="G2" s="1" t="s">
        <v>246</v>
      </c>
      <c r="H2" s="1">
        <v>1987</v>
      </c>
      <c r="I2" s="1">
        <f>ROUND(K2/365,2)</f>
        <v>1.1200000000000001</v>
      </c>
      <c r="K2" s="1">
        <v>409.82</v>
      </c>
      <c r="M2" s="1" t="s">
        <v>249</v>
      </c>
    </row>
    <row r="3" spans="1:13" x14ac:dyDescent="0.3">
      <c r="A3" s="64" t="s">
        <v>181</v>
      </c>
      <c r="B3" s="1" t="s">
        <v>182</v>
      </c>
      <c r="C3" s="1">
        <v>1994</v>
      </c>
      <c r="D3" s="1" t="s">
        <v>183</v>
      </c>
      <c r="E3" s="1" t="s">
        <v>247</v>
      </c>
      <c r="F3" s="1" t="s">
        <v>245</v>
      </c>
      <c r="G3" s="1" t="s">
        <v>246</v>
      </c>
      <c r="H3" s="1">
        <v>1988</v>
      </c>
      <c r="I3" s="1">
        <f t="shared" ref="I3:I13" si="0">ROUND(K3/365,2)</f>
        <v>1.25</v>
      </c>
      <c r="K3" s="1">
        <v>457.81</v>
      </c>
    </row>
    <row r="4" spans="1:13" x14ac:dyDescent="0.3">
      <c r="A4" s="64" t="s">
        <v>181</v>
      </c>
      <c r="B4" s="1" t="s">
        <v>182</v>
      </c>
      <c r="C4" s="1">
        <v>1994</v>
      </c>
      <c r="D4" s="1" t="s">
        <v>183</v>
      </c>
      <c r="E4" s="1" t="s">
        <v>247</v>
      </c>
      <c r="F4" s="1" t="s">
        <v>245</v>
      </c>
      <c r="G4" s="1" t="s">
        <v>246</v>
      </c>
      <c r="H4" s="1">
        <v>1989</v>
      </c>
      <c r="I4" s="1">
        <f t="shared" si="0"/>
        <v>1.22</v>
      </c>
      <c r="K4" s="1">
        <v>443.59</v>
      </c>
    </row>
    <row r="5" spans="1:13" x14ac:dyDescent="0.3">
      <c r="A5" s="64" t="s">
        <v>181</v>
      </c>
      <c r="B5" s="1" t="s">
        <v>182</v>
      </c>
      <c r="C5" s="1">
        <v>1994</v>
      </c>
      <c r="D5" s="1" t="s">
        <v>183</v>
      </c>
      <c r="E5" s="1" t="s">
        <v>247</v>
      </c>
      <c r="F5" s="1" t="s">
        <v>245</v>
      </c>
      <c r="G5" s="1" t="s">
        <v>246</v>
      </c>
      <c r="H5" s="1">
        <v>1990</v>
      </c>
      <c r="I5" s="1">
        <f t="shared" si="0"/>
        <v>1.04</v>
      </c>
      <c r="K5" s="1">
        <v>379.21</v>
      </c>
    </row>
    <row r="6" spans="1:13" x14ac:dyDescent="0.3">
      <c r="A6" s="64" t="s">
        <v>181</v>
      </c>
      <c r="B6" s="1" t="s">
        <v>182</v>
      </c>
      <c r="C6" s="1">
        <v>1994</v>
      </c>
      <c r="D6" s="1" t="s">
        <v>183</v>
      </c>
      <c r="E6" s="1" t="s">
        <v>247</v>
      </c>
      <c r="F6" s="1" t="s">
        <v>245</v>
      </c>
      <c r="G6" s="1" t="s">
        <v>246</v>
      </c>
      <c r="H6" s="1">
        <v>1991</v>
      </c>
      <c r="I6" s="1">
        <f t="shared" si="0"/>
        <v>0.89</v>
      </c>
      <c r="K6" s="1">
        <v>323.60000000000002</v>
      </c>
    </row>
    <row r="7" spans="1:13" x14ac:dyDescent="0.3">
      <c r="A7" s="64" t="s">
        <v>181</v>
      </c>
      <c r="B7" s="1" t="s">
        <v>182</v>
      </c>
      <c r="C7" s="1">
        <v>1994</v>
      </c>
      <c r="D7" s="1" t="s">
        <v>183</v>
      </c>
      <c r="E7" s="1" t="s">
        <v>247</v>
      </c>
      <c r="F7" s="1" t="s">
        <v>245</v>
      </c>
      <c r="G7" s="1" t="s">
        <v>246</v>
      </c>
      <c r="H7" s="1">
        <v>1992</v>
      </c>
      <c r="I7" s="1">
        <f t="shared" si="0"/>
        <v>0.72</v>
      </c>
      <c r="K7" s="1">
        <v>262.45</v>
      </c>
    </row>
    <row r="8" spans="1:13" x14ac:dyDescent="0.3">
      <c r="A8" s="64" t="s">
        <v>181</v>
      </c>
      <c r="B8" s="1" t="s">
        <v>182</v>
      </c>
      <c r="C8" s="1">
        <v>1994</v>
      </c>
      <c r="D8" s="1" t="s">
        <v>183</v>
      </c>
      <c r="E8" s="1" t="s">
        <v>479</v>
      </c>
      <c r="F8" s="1" t="s">
        <v>245</v>
      </c>
      <c r="G8" s="1" t="s">
        <v>243</v>
      </c>
      <c r="H8" s="1">
        <v>1987</v>
      </c>
      <c r="I8" s="1">
        <f t="shared" si="0"/>
        <v>2.29</v>
      </c>
      <c r="K8" s="1">
        <v>834.53</v>
      </c>
    </row>
    <row r="9" spans="1:13" x14ac:dyDescent="0.3">
      <c r="A9" s="64" t="s">
        <v>181</v>
      </c>
      <c r="B9" s="1" t="s">
        <v>182</v>
      </c>
      <c r="C9" s="1">
        <v>1994</v>
      </c>
      <c r="D9" s="1" t="s">
        <v>183</v>
      </c>
      <c r="E9" s="1" t="s">
        <v>479</v>
      </c>
      <c r="F9" s="1" t="s">
        <v>245</v>
      </c>
      <c r="G9" s="1" t="s">
        <v>243</v>
      </c>
      <c r="H9" s="1">
        <v>1988</v>
      </c>
      <c r="I9" s="1">
        <f t="shared" si="0"/>
        <v>2.5499999999999998</v>
      </c>
      <c r="K9" s="1">
        <v>932.39</v>
      </c>
    </row>
    <row r="10" spans="1:13" x14ac:dyDescent="0.3">
      <c r="A10" s="64" t="s">
        <v>181</v>
      </c>
      <c r="B10" s="1" t="s">
        <v>182</v>
      </c>
      <c r="C10" s="1">
        <v>1994</v>
      </c>
      <c r="D10" s="1" t="s">
        <v>183</v>
      </c>
      <c r="E10" s="1" t="s">
        <v>479</v>
      </c>
      <c r="F10" s="1" t="s">
        <v>245</v>
      </c>
      <c r="G10" s="1" t="s">
        <v>243</v>
      </c>
      <c r="H10" s="1">
        <v>1989</v>
      </c>
      <c r="I10" s="1">
        <f t="shared" si="0"/>
        <v>2.67</v>
      </c>
      <c r="K10" s="1">
        <v>975.36</v>
      </c>
    </row>
    <row r="11" spans="1:13" x14ac:dyDescent="0.3">
      <c r="A11" s="64" t="s">
        <v>181</v>
      </c>
      <c r="B11" s="1" t="s">
        <v>182</v>
      </c>
      <c r="C11" s="1">
        <v>1994</v>
      </c>
      <c r="D11" s="1" t="s">
        <v>183</v>
      </c>
      <c r="E11" s="1" t="s">
        <v>479</v>
      </c>
      <c r="F11" s="1" t="s">
        <v>245</v>
      </c>
      <c r="G11" s="1" t="s">
        <v>243</v>
      </c>
      <c r="H11" s="1">
        <v>1990</v>
      </c>
      <c r="I11" s="1">
        <f t="shared" si="0"/>
        <v>2.63</v>
      </c>
      <c r="K11" s="1">
        <v>958.61</v>
      </c>
    </row>
    <row r="12" spans="1:13" x14ac:dyDescent="0.3">
      <c r="A12" s="64" t="s">
        <v>181</v>
      </c>
      <c r="B12" s="1" t="s">
        <v>182</v>
      </c>
      <c r="C12" s="1">
        <v>1994</v>
      </c>
      <c r="D12" s="1" t="s">
        <v>183</v>
      </c>
      <c r="E12" s="1" t="s">
        <v>479</v>
      </c>
      <c r="F12" s="1" t="s">
        <v>245</v>
      </c>
      <c r="G12" s="1" t="s">
        <v>243</v>
      </c>
      <c r="H12" s="1">
        <v>1991</v>
      </c>
      <c r="I12" s="1">
        <f t="shared" si="0"/>
        <v>2.5099999999999998</v>
      </c>
      <c r="K12" s="1">
        <v>917.8</v>
      </c>
    </row>
    <row r="13" spans="1:13" x14ac:dyDescent="0.3">
      <c r="A13" s="64" t="s">
        <v>181</v>
      </c>
      <c r="B13" s="1" t="s">
        <v>182</v>
      </c>
      <c r="C13" s="1">
        <v>1994</v>
      </c>
      <c r="D13" s="1" t="s">
        <v>183</v>
      </c>
      <c r="E13" s="1" t="s">
        <v>479</v>
      </c>
      <c r="F13" s="1" t="s">
        <v>245</v>
      </c>
      <c r="G13" s="1" t="s">
        <v>243</v>
      </c>
      <c r="H13" s="1">
        <v>1992</v>
      </c>
      <c r="I13" s="1">
        <f t="shared" si="0"/>
        <v>2.48</v>
      </c>
      <c r="K13" s="1">
        <v>904.71</v>
      </c>
    </row>
    <row r="14" spans="1:13" x14ac:dyDescent="0.3">
      <c r="A14" s="64" t="s">
        <v>181</v>
      </c>
      <c r="B14" s="1" t="s">
        <v>182</v>
      </c>
      <c r="C14" s="1">
        <v>1994</v>
      </c>
      <c r="D14" s="1" t="s">
        <v>183</v>
      </c>
      <c r="E14" s="1" t="s">
        <v>248</v>
      </c>
      <c r="F14" s="1" t="s">
        <v>245</v>
      </c>
      <c r="G14" s="1" t="s">
        <v>243</v>
      </c>
      <c r="H14" s="1">
        <v>1987</v>
      </c>
      <c r="I14" s="1">
        <v>5</v>
      </c>
    </row>
    <row r="15" spans="1:13" x14ac:dyDescent="0.3">
      <c r="A15" s="64" t="s">
        <v>181</v>
      </c>
      <c r="B15" s="1" t="s">
        <v>182</v>
      </c>
      <c r="C15" s="1">
        <v>1994</v>
      </c>
      <c r="D15" s="1" t="s">
        <v>183</v>
      </c>
      <c r="E15" s="1" t="s">
        <v>248</v>
      </c>
      <c r="F15" s="1" t="s">
        <v>245</v>
      </c>
      <c r="G15" s="1" t="s">
        <v>243</v>
      </c>
      <c r="H15" s="1">
        <v>1988</v>
      </c>
      <c r="I15" s="1">
        <v>5</v>
      </c>
    </row>
    <row r="16" spans="1:13" x14ac:dyDescent="0.3">
      <c r="A16" s="64" t="s">
        <v>181</v>
      </c>
      <c r="B16" s="1" t="s">
        <v>182</v>
      </c>
      <c r="C16" s="1">
        <v>1994</v>
      </c>
      <c r="D16" s="1" t="s">
        <v>183</v>
      </c>
      <c r="E16" s="1" t="s">
        <v>248</v>
      </c>
      <c r="F16" s="1" t="s">
        <v>245</v>
      </c>
      <c r="G16" s="1" t="s">
        <v>243</v>
      </c>
      <c r="H16" s="1">
        <v>1989</v>
      </c>
      <c r="I16" s="1">
        <v>5</v>
      </c>
    </row>
    <row r="17" spans="1:13" x14ac:dyDescent="0.3">
      <c r="A17" s="64" t="s">
        <v>181</v>
      </c>
      <c r="B17" s="1" t="s">
        <v>182</v>
      </c>
      <c r="C17" s="1">
        <v>1994</v>
      </c>
      <c r="D17" s="1" t="s">
        <v>183</v>
      </c>
      <c r="E17" s="1" t="s">
        <v>248</v>
      </c>
      <c r="F17" s="1" t="s">
        <v>245</v>
      </c>
      <c r="G17" s="1" t="s">
        <v>243</v>
      </c>
      <c r="H17" s="1">
        <v>1990</v>
      </c>
      <c r="I17" s="1">
        <v>5</v>
      </c>
    </row>
    <row r="18" spans="1:13" x14ac:dyDescent="0.3">
      <c r="A18" s="64" t="s">
        <v>181</v>
      </c>
      <c r="B18" s="1" t="s">
        <v>182</v>
      </c>
      <c r="C18" s="1">
        <v>1994</v>
      </c>
      <c r="D18" s="1" t="s">
        <v>183</v>
      </c>
      <c r="E18" s="1" t="s">
        <v>248</v>
      </c>
      <c r="F18" s="1" t="s">
        <v>245</v>
      </c>
      <c r="G18" s="1" t="s">
        <v>243</v>
      </c>
      <c r="H18" s="1">
        <v>1991</v>
      </c>
      <c r="I18" s="1">
        <v>5</v>
      </c>
    </row>
    <row r="19" spans="1:13" x14ac:dyDescent="0.3">
      <c r="A19" s="64" t="s">
        <v>181</v>
      </c>
      <c r="B19" s="1" t="s">
        <v>182</v>
      </c>
      <c r="C19" s="1">
        <v>1994</v>
      </c>
      <c r="D19" s="1" t="s">
        <v>183</v>
      </c>
      <c r="E19" s="1" t="s">
        <v>248</v>
      </c>
      <c r="F19" s="1" t="s">
        <v>245</v>
      </c>
      <c r="G19" s="1" t="s">
        <v>243</v>
      </c>
      <c r="H19" s="1">
        <v>1992</v>
      </c>
      <c r="I19" s="1">
        <v>5</v>
      </c>
    </row>
    <row r="20" spans="1:13" x14ac:dyDescent="0.3">
      <c r="A20" s="64" t="s">
        <v>181</v>
      </c>
      <c r="B20" s="1" t="s">
        <v>182</v>
      </c>
      <c r="C20" s="1">
        <v>2005</v>
      </c>
      <c r="D20" s="1" t="s">
        <v>381</v>
      </c>
      <c r="E20" s="1" t="s">
        <v>248</v>
      </c>
      <c r="F20" s="1" t="s">
        <v>245</v>
      </c>
      <c r="G20" s="1" t="s">
        <v>243</v>
      </c>
      <c r="H20" s="1">
        <v>1961</v>
      </c>
      <c r="I20" s="1">
        <v>1.36</v>
      </c>
      <c r="M20" s="1" t="s">
        <v>594</v>
      </c>
    </row>
    <row r="21" spans="1:13" x14ac:dyDescent="0.3">
      <c r="A21" s="64" t="s">
        <v>181</v>
      </c>
      <c r="B21" s="1" t="s">
        <v>182</v>
      </c>
      <c r="C21" s="1">
        <v>2005</v>
      </c>
      <c r="D21" s="1" t="s">
        <v>381</v>
      </c>
      <c r="E21" s="1" t="s">
        <v>248</v>
      </c>
      <c r="F21" s="1" t="s">
        <v>245</v>
      </c>
      <c r="G21" s="1" t="s">
        <v>243</v>
      </c>
      <c r="H21" s="1">
        <v>1972</v>
      </c>
      <c r="I21" s="1">
        <v>2</v>
      </c>
    </row>
    <row r="22" spans="1:13" x14ac:dyDescent="0.3">
      <c r="A22" s="64" t="s">
        <v>181</v>
      </c>
      <c r="B22" s="1" t="s">
        <v>182</v>
      </c>
      <c r="C22" s="1">
        <v>2005</v>
      </c>
      <c r="D22" s="1" t="s">
        <v>381</v>
      </c>
      <c r="E22" s="1" t="s">
        <v>248</v>
      </c>
      <c r="F22" s="1" t="s">
        <v>245</v>
      </c>
      <c r="G22" s="1" t="s">
        <v>243</v>
      </c>
      <c r="H22" s="1">
        <v>1988</v>
      </c>
      <c r="I22" s="1">
        <v>2.87</v>
      </c>
      <c r="J22" s="1">
        <v>7.87</v>
      </c>
      <c r="M22" s="1" t="s">
        <v>593</v>
      </c>
    </row>
    <row r="23" spans="1:13" x14ac:dyDescent="0.3">
      <c r="A23" s="64" t="s">
        <v>181</v>
      </c>
      <c r="B23" s="1" t="s">
        <v>182</v>
      </c>
      <c r="C23" s="1">
        <v>2005</v>
      </c>
      <c r="D23" s="1" t="s">
        <v>381</v>
      </c>
      <c r="E23" s="1" t="s">
        <v>248</v>
      </c>
      <c r="F23" s="1" t="s">
        <v>245</v>
      </c>
      <c r="G23" s="1" t="s">
        <v>243</v>
      </c>
      <c r="H23" s="1">
        <v>2001</v>
      </c>
      <c r="I23" s="1">
        <v>2.87</v>
      </c>
      <c r="J23" s="1">
        <v>7.87</v>
      </c>
    </row>
    <row r="24" spans="1:13" x14ac:dyDescent="0.3">
      <c r="A24" s="64" t="s">
        <v>181</v>
      </c>
      <c r="B24" s="1" t="s">
        <v>182</v>
      </c>
      <c r="C24" s="1">
        <v>2005</v>
      </c>
      <c r="D24" s="1" t="s">
        <v>381</v>
      </c>
      <c r="E24" s="1" t="s">
        <v>248</v>
      </c>
      <c r="F24" s="1" t="s">
        <v>245</v>
      </c>
      <c r="G24" s="1" t="s">
        <v>243</v>
      </c>
      <c r="H24" s="1">
        <v>2004</v>
      </c>
      <c r="I24" s="1">
        <v>2.87</v>
      </c>
      <c r="J24" s="1">
        <v>7.87</v>
      </c>
    </row>
    <row r="25" spans="1:13" x14ac:dyDescent="0.3">
      <c r="A25" s="64" t="s">
        <v>181</v>
      </c>
      <c r="B25" s="1" t="s">
        <v>182</v>
      </c>
      <c r="C25" s="1">
        <v>2010</v>
      </c>
      <c r="D25" s="1" t="s">
        <v>381</v>
      </c>
      <c r="E25" s="1" t="s">
        <v>248</v>
      </c>
      <c r="F25" s="1" t="s">
        <v>245</v>
      </c>
      <c r="G25" s="1" t="s">
        <v>243</v>
      </c>
      <c r="H25" s="1">
        <v>2009</v>
      </c>
      <c r="I25" s="1">
        <v>3.12</v>
      </c>
      <c r="J25" s="1">
        <v>9.17</v>
      </c>
    </row>
    <row r="26" spans="1:13" x14ac:dyDescent="0.3">
      <c r="A26" s="64" t="s">
        <v>181</v>
      </c>
      <c r="B26" s="1" t="s">
        <v>182</v>
      </c>
      <c r="C26" s="1">
        <v>2010</v>
      </c>
      <c r="D26" s="1" t="s">
        <v>381</v>
      </c>
      <c r="E26" s="1" t="s">
        <v>248</v>
      </c>
      <c r="F26" s="1" t="s">
        <v>245</v>
      </c>
      <c r="G26" s="1" t="s">
        <v>243</v>
      </c>
      <c r="H26" s="1">
        <v>2014</v>
      </c>
      <c r="I26" s="1">
        <v>3.12</v>
      </c>
      <c r="J26" s="1">
        <v>9.17</v>
      </c>
    </row>
    <row r="27" spans="1:13" x14ac:dyDescent="0.3">
      <c r="A27" s="64" t="s">
        <v>181</v>
      </c>
      <c r="B27" s="1" t="s">
        <v>182</v>
      </c>
      <c r="C27" s="1">
        <v>2002</v>
      </c>
      <c r="D27" s="1" t="s">
        <v>381</v>
      </c>
      <c r="E27" s="1" t="s">
        <v>247</v>
      </c>
      <c r="F27" s="1" t="s">
        <v>245</v>
      </c>
      <c r="G27" s="1" t="s">
        <v>241</v>
      </c>
      <c r="H27" s="1">
        <v>2001</v>
      </c>
      <c r="I27" s="1">
        <f t="shared" ref="I27:I102" si="1">ROUND(K27/365,2)</f>
        <v>0.49</v>
      </c>
      <c r="K27" s="1">
        <v>178.71199999999999</v>
      </c>
    </row>
    <row r="28" spans="1:13" x14ac:dyDescent="0.3">
      <c r="A28" s="64" t="s">
        <v>181</v>
      </c>
      <c r="B28" s="1" t="s">
        <v>182</v>
      </c>
      <c r="C28" s="1">
        <v>2002</v>
      </c>
      <c r="D28" s="1" t="s">
        <v>381</v>
      </c>
      <c r="E28" s="1" t="s">
        <v>247</v>
      </c>
      <c r="F28" s="1" t="s">
        <v>245</v>
      </c>
      <c r="G28" s="1" t="s">
        <v>412</v>
      </c>
      <c r="H28" s="1">
        <v>2001</v>
      </c>
      <c r="I28" s="1">
        <f t="shared" si="1"/>
        <v>0.37</v>
      </c>
      <c r="K28" s="1">
        <v>134.362279</v>
      </c>
    </row>
    <row r="29" spans="1:13" x14ac:dyDescent="0.3">
      <c r="A29" s="64" t="s">
        <v>181</v>
      </c>
      <c r="B29" s="1" t="s">
        <v>182</v>
      </c>
      <c r="C29" s="1">
        <v>2002</v>
      </c>
      <c r="D29" s="1" t="s">
        <v>381</v>
      </c>
      <c r="E29" s="1" t="s">
        <v>247</v>
      </c>
      <c r="F29" s="1" t="s">
        <v>245</v>
      </c>
      <c r="G29" s="1" t="s">
        <v>411</v>
      </c>
      <c r="H29" s="1">
        <v>2001</v>
      </c>
      <c r="I29" s="1">
        <f t="shared" si="1"/>
        <v>7.0000000000000007E-2</v>
      </c>
      <c r="K29" s="1">
        <v>23.959</v>
      </c>
    </row>
    <row r="30" spans="1:13" x14ac:dyDescent="0.3">
      <c r="A30" s="64" t="s">
        <v>181</v>
      </c>
      <c r="B30" s="1" t="s">
        <v>182</v>
      </c>
      <c r="C30" s="1">
        <v>2002</v>
      </c>
      <c r="D30" s="1" t="s">
        <v>381</v>
      </c>
      <c r="E30" s="1" t="s">
        <v>247</v>
      </c>
      <c r="F30" s="1" t="s">
        <v>245</v>
      </c>
      <c r="G30" s="1" t="s">
        <v>243</v>
      </c>
      <c r="H30" s="1">
        <v>2001</v>
      </c>
      <c r="I30" s="1">
        <f t="shared" si="1"/>
        <v>0.92</v>
      </c>
      <c r="K30" s="1">
        <v>337.03327899999999</v>
      </c>
    </row>
    <row r="31" spans="1:13" x14ac:dyDescent="0.3">
      <c r="A31" s="64" t="s">
        <v>181</v>
      </c>
      <c r="B31" s="1" t="s">
        <v>182</v>
      </c>
      <c r="C31" s="1">
        <v>2005</v>
      </c>
      <c r="D31" s="1" t="s">
        <v>381</v>
      </c>
      <c r="E31" s="1" t="s">
        <v>247</v>
      </c>
      <c r="F31" s="1" t="s">
        <v>245</v>
      </c>
      <c r="G31" s="1" t="s">
        <v>241</v>
      </c>
      <c r="H31" s="1">
        <v>2004</v>
      </c>
      <c r="I31" s="1">
        <f t="shared" si="1"/>
        <v>0.56000000000000005</v>
      </c>
      <c r="K31" s="1">
        <v>202.67599999999999</v>
      </c>
      <c r="M31" s="1" t="s">
        <v>413</v>
      </c>
    </row>
    <row r="32" spans="1:13" x14ac:dyDescent="0.3">
      <c r="A32" s="64" t="s">
        <v>181</v>
      </c>
      <c r="B32" s="1" t="s">
        <v>182</v>
      </c>
      <c r="C32" s="1">
        <v>2005</v>
      </c>
      <c r="D32" s="1" t="s">
        <v>381</v>
      </c>
      <c r="E32" s="1" t="s">
        <v>247</v>
      </c>
      <c r="F32" s="1" t="s">
        <v>245</v>
      </c>
      <c r="G32" s="1" t="s">
        <v>412</v>
      </c>
      <c r="H32" s="1">
        <v>2004</v>
      </c>
      <c r="I32" s="1">
        <f t="shared" si="1"/>
        <v>0.49</v>
      </c>
      <c r="K32" s="1">
        <v>177.28299999999999</v>
      </c>
    </row>
    <row r="33" spans="1:11" x14ac:dyDescent="0.3">
      <c r="A33" s="64" t="s">
        <v>181</v>
      </c>
      <c r="B33" s="1" t="s">
        <v>182</v>
      </c>
      <c r="C33" s="1">
        <v>2005</v>
      </c>
      <c r="D33" s="1" t="s">
        <v>381</v>
      </c>
      <c r="E33" s="1" t="s">
        <v>247</v>
      </c>
      <c r="F33" s="1" t="s">
        <v>245</v>
      </c>
      <c r="G33" s="1" t="s">
        <v>411</v>
      </c>
      <c r="H33" s="1">
        <v>2004</v>
      </c>
      <c r="I33" s="1">
        <f t="shared" si="1"/>
        <v>0.08</v>
      </c>
      <c r="K33" s="1">
        <v>28.123999999999999</v>
      </c>
    </row>
    <row r="34" spans="1:11" x14ac:dyDescent="0.3">
      <c r="A34" s="64" t="s">
        <v>181</v>
      </c>
      <c r="B34" s="1" t="s">
        <v>182</v>
      </c>
      <c r="C34" s="1">
        <v>2005</v>
      </c>
      <c r="D34" s="1" t="s">
        <v>381</v>
      </c>
      <c r="E34" s="1" t="s">
        <v>247</v>
      </c>
      <c r="F34" s="1" t="s">
        <v>245</v>
      </c>
      <c r="G34" s="1" t="s">
        <v>243</v>
      </c>
      <c r="H34" s="1">
        <v>2004</v>
      </c>
      <c r="I34" s="1">
        <f t="shared" si="1"/>
        <v>1.1200000000000001</v>
      </c>
      <c r="K34" s="1">
        <v>408.08300000000003</v>
      </c>
    </row>
    <row r="35" spans="1:11" x14ac:dyDescent="0.3">
      <c r="A35" s="64" t="s">
        <v>181</v>
      </c>
      <c r="B35" s="1" t="s">
        <v>182</v>
      </c>
      <c r="C35" s="1">
        <v>2010</v>
      </c>
      <c r="D35" s="1" t="s">
        <v>381</v>
      </c>
      <c r="E35" s="1" t="s">
        <v>247</v>
      </c>
      <c r="F35" s="1" t="s">
        <v>245</v>
      </c>
      <c r="G35" s="1" t="s">
        <v>241</v>
      </c>
      <c r="H35" s="1">
        <v>2009</v>
      </c>
      <c r="I35" s="1">
        <f t="shared" si="1"/>
        <v>0.51</v>
      </c>
      <c r="K35" s="1">
        <v>187.499</v>
      </c>
    </row>
    <row r="36" spans="1:11" x14ac:dyDescent="0.3">
      <c r="A36" s="64" t="s">
        <v>181</v>
      </c>
      <c r="B36" s="1" t="s">
        <v>182</v>
      </c>
      <c r="C36" s="1">
        <v>2010</v>
      </c>
      <c r="D36" s="1" t="s">
        <v>381</v>
      </c>
      <c r="E36" s="1" t="s">
        <v>247</v>
      </c>
      <c r="F36" s="1" t="s">
        <v>245</v>
      </c>
      <c r="G36" s="1" t="s">
        <v>412</v>
      </c>
      <c r="H36" s="1">
        <v>2009</v>
      </c>
      <c r="I36" s="1">
        <f t="shared" si="1"/>
        <v>0.35</v>
      </c>
      <c r="K36" s="1">
        <v>129.02500000000001</v>
      </c>
    </row>
    <row r="37" spans="1:11" x14ac:dyDescent="0.3">
      <c r="A37" s="64" t="s">
        <v>181</v>
      </c>
      <c r="B37" s="1" t="s">
        <v>182</v>
      </c>
      <c r="C37" s="1">
        <v>2010</v>
      </c>
      <c r="D37" s="1" t="s">
        <v>381</v>
      </c>
      <c r="E37" s="1" t="s">
        <v>247</v>
      </c>
      <c r="F37" s="1" t="s">
        <v>245</v>
      </c>
      <c r="G37" s="1" t="s">
        <v>411</v>
      </c>
      <c r="H37" s="1">
        <v>2009</v>
      </c>
      <c r="I37" s="1">
        <f t="shared" si="1"/>
        <v>0.08</v>
      </c>
      <c r="K37" s="1">
        <v>29.731999999999999</v>
      </c>
    </row>
    <row r="38" spans="1:11" x14ac:dyDescent="0.3">
      <c r="A38" s="64" t="s">
        <v>181</v>
      </c>
      <c r="B38" s="1" t="s">
        <v>182</v>
      </c>
      <c r="C38" s="1">
        <v>2010</v>
      </c>
      <c r="D38" s="1" t="s">
        <v>381</v>
      </c>
      <c r="E38" s="1" t="s">
        <v>247</v>
      </c>
      <c r="F38" s="1" t="s">
        <v>245</v>
      </c>
      <c r="G38" s="1" t="s">
        <v>243</v>
      </c>
      <c r="H38" s="1">
        <v>2009</v>
      </c>
      <c r="I38" s="1">
        <f t="shared" si="1"/>
        <v>0.95</v>
      </c>
      <c r="K38" s="1">
        <v>346.25599999999997</v>
      </c>
    </row>
    <row r="39" spans="1:11" x14ac:dyDescent="0.3">
      <c r="A39" s="64" t="s">
        <v>181</v>
      </c>
      <c r="B39" s="1" t="s">
        <v>182</v>
      </c>
      <c r="C39" s="1">
        <v>2015</v>
      </c>
      <c r="D39" s="1" t="s">
        <v>381</v>
      </c>
      <c r="E39" s="1" t="s">
        <v>247</v>
      </c>
      <c r="F39" s="1" t="s">
        <v>245</v>
      </c>
      <c r="G39" s="1" t="s">
        <v>241</v>
      </c>
      <c r="H39" s="1">
        <v>2014</v>
      </c>
      <c r="I39" s="1">
        <f t="shared" si="1"/>
        <v>0.47</v>
      </c>
      <c r="K39" s="1">
        <v>172.648</v>
      </c>
    </row>
    <row r="40" spans="1:11" x14ac:dyDescent="0.3">
      <c r="A40" s="64" t="s">
        <v>181</v>
      </c>
      <c r="B40" s="1" t="s">
        <v>182</v>
      </c>
      <c r="C40" s="1">
        <v>2015</v>
      </c>
      <c r="D40" s="1" t="s">
        <v>381</v>
      </c>
      <c r="E40" s="1" t="s">
        <v>247</v>
      </c>
      <c r="F40" s="1" t="s">
        <v>245</v>
      </c>
      <c r="G40" s="1" t="s">
        <v>412</v>
      </c>
      <c r="H40" s="1">
        <v>2014</v>
      </c>
      <c r="I40" s="1">
        <f t="shared" si="1"/>
        <v>0.42</v>
      </c>
      <c r="K40" s="1">
        <v>152.37200000000001</v>
      </c>
    </row>
    <row r="41" spans="1:11" x14ac:dyDescent="0.3">
      <c r="A41" s="64" t="s">
        <v>181</v>
      </c>
      <c r="B41" s="1" t="s">
        <v>182</v>
      </c>
      <c r="C41" s="1">
        <v>2015</v>
      </c>
      <c r="D41" s="1" t="s">
        <v>381</v>
      </c>
      <c r="E41" s="1" t="s">
        <v>247</v>
      </c>
      <c r="F41" s="1" t="s">
        <v>245</v>
      </c>
      <c r="G41" s="1" t="s">
        <v>411</v>
      </c>
      <c r="H41" s="1">
        <v>2014</v>
      </c>
      <c r="I41" s="1">
        <f t="shared" si="1"/>
        <v>7.0000000000000007E-2</v>
      </c>
      <c r="K41" s="1">
        <v>26.567</v>
      </c>
    </row>
    <row r="42" spans="1:11" x14ac:dyDescent="0.3">
      <c r="A42" s="64" t="s">
        <v>181</v>
      </c>
      <c r="B42" s="1" t="s">
        <v>182</v>
      </c>
      <c r="C42" s="1">
        <v>2015</v>
      </c>
      <c r="D42" s="1" t="s">
        <v>381</v>
      </c>
      <c r="E42" s="1" t="s">
        <v>247</v>
      </c>
      <c r="F42" s="1" t="s">
        <v>245</v>
      </c>
      <c r="G42" s="1" t="s">
        <v>243</v>
      </c>
      <c r="H42" s="1">
        <v>2014</v>
      </c>
      <c r="I42" s="1">
        <f t="shared" si="1"/>
        <v>0.96</v>
      </c>
      <c r="K42" s="1">
        <v>351.58699999999999</v>
      </c>
    </row>
    <row r="43" spans="1:11" x14ac:dyDescent="0.3">
      <c r="A43" s="64" t="s">
        <v>181</v>
      </c>
      <c r="B43" s="1" t="s">
        <v>182</v>
      </c>
      <c r="C43" s="1" t="s">
        <v>481</v>
      </c>
      <c r="D43" s="1" t="s">
        <v>183</v>
      </c>
      <c r="E43" s="1" t="s">
        <v>479</v>
      </c>
      <c r="F43" s="1" t="s">
        <v>245</v>
      </c>
      <c r="G43" s="1" t="s">
        <v>243</v>
      </c>
      <c r="H43" s="1">
        <v>1989</v>
      </c>
      <c r="I43" s="1">
        <f t="shared" si="1"/>
        <v>2.67</v>
      </c>
      <c r="K43" s="1">
        <v>975.36</v>
      </c>
    </row>
    <row r="44" spans="1:11" x14ac:dyDescent="0.3">
      <c r="A44" s="64" t="s">
        <v>181</v>
      </c>
      <c r="B44" s="1" t="s">
        <v>182</v>
      </c>
      <c r="C44" s="1" t="s">
        <v>481</v>
      </c>
      <c r="D44" s="1" t="s">
        <v>183</v>
      </c>
      <c r="E44" s="1" t="s">
        <v>479</v>
      </c>
      <c r="F44" s="1" t="s">
        <v>245</v>
      </c>
      <c r="G44" s="1" t="s">
        <v>243</v>
      </c>
      <c r="H44" s="1">
        <v>1990</v>
      </c>
      <c r="I44" s="1">
        <f t="shared" si="1"/>
        <v>2.63</v>
      </c>
      <c r="K44" s="1">
        <v>958.61</v>
      </c>
    </row>
    <row r="45" spans="1:11" x14ac:dyDescent="0.3">
      <c r="A45" s="64" t="s">
        <v>181</v>
      </c>
      <c r="B45" s="1" t="s">
        <v>182</v>
      </c>
      <c r="C45" s="1" t="s">
        <v>481</v>
      </c>
      <c r="D45" s="1" t="s">
        <v>183</v>
      </c>
      <c r="E45" s="1" t="s">
        <v>479</v>
      </c>
      <c r="F45" s="1" t="s">
        <v>245</v>
      </c>
      <c r="G45" s="1" t="s">
        <v>243</v>
      </c>
      <c r="H45" s="1">
        <v>1991</v>
      </c>
      <c r="I45" s="1">
        <f t="shared" si="1"/>
        <v>2.5099999999999998</v>
      </c>
      <c r="K45" s="1">
        <v>917.8</v>
      </c>
    </row>
    <row r="46" spans="1:11" x14ac:dyDescent="0.3">
      <c r="A46" s="64" t="s">
        <v>181</v>
      </c>
      <c r="B46" s="1" t="s">
        <v>182</v>
      </c>
      <c r="C46" s="1" t="s">
        <v>481</v>
      </c>
      <c r="D46" s="1" t="s">
        <v>183</v>
      </c>
      <c r="E46" s="1" t="s">
        <v>479</v>
      </c>
      <c r="F46" s="1" t="s">
        <v>245</v>
      </c>
      <c r="G46" s="1" t="s">
        <v>243</v>
      </c>
      <c r="H46" s="1">
        <v>1992</v>
      </c>
      <c r="I46" s="1">
        <f t="shared" si="1"/>
        <v>2.48</v>
      </c>
      <c r="K46" s="1">
        <v>904.71</v>
      </c>
    </row>
    <row r="47" spans="1:11" x14ac:dyDescent="0.3">
      <c r="A47" s="64" t="s">
        <v>181</v>
      </c>
      <c r="B47" s="1" t="s">
        <v>182</v>
      </c>
      <c r="C47" s="1" t="s">
        <v>481</v>
      </c>
      <c r="D47" s="1" t="s">
        <v>183</v>
      </c>
      <c r="E47" s="1" t="s">
        <v>479</v>
      </c>
      <c r="F47" s="1" t="s">
        <v>245</v>
      </c>
      <c r="G47" s="1" t="s">
        <v>243</v>
      </c>
      <c r="H47" s="1">
        <v>1993</v>
      </c>
      <c r="I47" s="1">
        <f t="shared" si="1"/>
        <v>2.67</v>
      </c>
      <c r="K47" s="1">
        <v>975.32</v>
      </c>
    </row>
    <row r="48" spans="1:11" x14ac:dyDescent="0.3">
      <c r="A48" s="64" t="s">
        <v>181</v>
      </c>
      <c r="B48" s="1" t="s">
        <v>182</v>
      </c>
      <c r="C48" s="1" t="s">
        <v>481</v>
      </c>
      <c r="D48" s="1" t="s">
        <v>183</v>
      </c>
      <c r="E48" s="1" t="s">
        <v>479</v>
      </c>
      <c r="F48" s="1" t="s">
        <v>245</v>
      </c>
      <c r="G48" s="1" t="s">
        <v>243</v>
      </c>
      <c r="H48" s="1">
        <v>1994</v>
      </c>
      <c r="I48" s="1">
        <f t="shared" si="1"/>
        <v>2.8</v>
      </c>
      <c r="K48" s="1">
        <v>1020.3</v>
      </c>
    </row>
    <row r="49" spans="1:11" x14ac:dyDescent="0.3">
      <c r="A49" s="64" t="s">
        <v>181</v>
      </c>
      <c r="B49" s="1" t="s">
        <v>182</v>
      </c>
      <c r="C49" s="1" t="s">
        <v>481</v>
      </c>
      <c r="D49" s="1" t="s">
        <v>183</v>
      </c>
      <c r="E49" s="1" t="s">
        <v>479</v>
      </c>
      <c r="F49" s="1" t="s">
        <v>245</v>
      </c>
      <c r="G49" s="1" t="s">
        <v>243</v>
      </c>
      <c r="H49" s="1">
        <v>1995</v>
      </c>
      <c r="I49" s="1">
        <f t="shared" si="1"/>
        <v>2.4300000000000002</v>
      </c>
      <c r="K49" s="1">
        <v>885.46</v>
      </c>
    </row>
    <row r="50" spans="1:11" x14ac:dyDescent="0.3">
      <c r="A50" s="64" t="s">
        <v>181</v>
      </c>
      <c r="B50" s="1" t="s">
        <v>182</v>
      </c>
      <c r="C50" s="1" t="s">
        <v>481</v>
      </c>
      <c r="D50" s="1" t="s">
        <v>183</v>
      </c>
      <c r="E50" s="1" t="s">
        <v>479</v>
      </c>
      <c r="F50" s="1" t="s">
        <v>245</v>
      </c>
      <c r="G50" s="1" t="s">
        <v>243</v>
      </c>
      <c r="H50" s="1">
        <v>1996</v>
      </c>
      <c r="I50" s="1">
        <f t="shared" si="1"/>
        <v>2.64</v>
      </c>
      <c r="K50" s="1">
        <v>962.47</v>
      </c>
    </row>
    <row r="51" spans="1:11" x14ac:dyDescent="0.3">
      <c r="A51" s="64" t="s">
        <v>181</v>
      </c>
      <c r="B51" s="1" t="s">
        <v>182</v>
      </c>
      <c r="C51" s="1" t="s">
        <v>481</v>
      </c>
      <c r="D51" s="1" t="s">
        <v>183</v>
      </c>
      <c r="E51" s="1" t="s">
        <v>479</v>
      </c>
      <c r="F51" s="1" t="s">
        <v>245</v>
      </c>
      <c r="G51" s="1" t="s">
        <v>243</v>
      </c>
      <c r="H51" s="1">
        <v>1997</v>
      </c>
      <c r="I51" s="1">
        <f t="shared" si="1"/>
        <v>2.4900000000000002</v>
      </c>
      <c r="K51" s="1">
        <v>910.05</v>
      </c>
    </row>
    <row r="52" spans="1:11" x14ac:dyDescent="0.3">
      <c r="A52" s="64" t="s">
        <v>181</v>
      </c>
      <c r="B52" s="1" t="s">
        <v>182</v>
      </c>
      <c r="C52" s="1" t="s">
        <v>481</v>
      </c>
      <c r="D52" s="1" t="s">
        <v>183</v>
      </c>
      <c r="E52" s="1" t="s">
        <v>479</v>
      </c>
      <c r="F52" s="1" t="s">
        <v>245</v>
      </c>
      <c r="G52" s="1" t="s">
        <v>243</v>
      </c>
      <c r="H52" s="1">
        <v>1998</v>
      </c>
      <c r="I52" s="1">
        <f t="shared" si="1"/>
        <v>2.63</v>
      </c>
      <c r="K52" s="1">
        <v>958.23</v>
      </c>
    </row>
    <row r="53" spans="1:11" x14ac:dyDescent="0.3">
      <c r="A53" s="64" t="s">
        <v>181</v>
      </c>
      <c r="B53" s="1" t="s">
        <v>182</v>
      </c>
      <c r="C53" s="1" t="s">
        <v>481</v>
      </c>
      <c r="D53" s="1" t="s">
        <v>183</v>
      </c>
      <c r="E53" s="1" t="s">
        <v>479</v>
      </c>
      <c r="F53" s="1" t="s">
        <v>245</v>
      </c>
      <c r="G53" s="1" t="s">
        <v>243</v>
      </c>
      <c r="H53" s="1">
        <v>1999</v>
      </c>
      <c r="I53" s="1">
        <f t="shared" si="1"/>
        <v>2.58</v>
      </c>
      <c r="K53" s="1">
        <v>940.2</v>
      </c>
    </row>
    <row r="54" spans="1:11" x14ac:dyDescent="0.3">
      <c r="A54" s="64" t="s">
        <v>181</v>
      </c>
      <c r="B54" s="1" t="s">
        <v>182</v>
      </c>
      <c r="C54" s="1" t="s">
        <v>481</v>
      </c>
      <c r="D54" s="1" t="s">
        <v>183</v>
      </c>
      <c r="E54" s="1" t="s">
        <v>479</v>
      </c>
      <c r="F54" s="1" t="s">
        <v>245</v>
      </c>
      <c r="G54" s="1" t="s">
        <v>243</v>
      </c>
      <c r="H54" s="1">
        <v>2000</v>
      </c>
      <c r="I54" s="1">
        <f t="shared" si="1"/>
        <v>2.61</v>
      </c>
      <c r="K54" s="1">
        <v>951.35</v>
      </c>
    </row>
    <row r="55" spans="1:11" x14ac:dyDescent="0.3">
      <c r="A55" s="64" t="s">
        <v>181</v>
      </c>
      <c r="B55" s="1" t="s">
        <v>182</v>
      </c>
      <c r="C55" s="1" t="s">
        <v>481</v>
      </c>
      <c r="D55" s="1" t="s">
        <v>183</v>
      </c>
      <c r="E55" s="1" t="s">
        <v>479</v>
      </c>
      <c r="F55" s="1" t="s">
        <v>245</v>
      </c>
      <c r="G55" s="1" t="s">
        <v>243</v>
      </c>
      <c r="H55" s="1">
        <v>2001</v>
      </c>
      <c r="I55" s="1">
        <f t="shared" si="1"/>
        <v>2.64</v>
      </c>
      <c r="K55" s="1">
        <v>965.03</v>
      </c>
    </row>
    <row r="56" spans="1:11" x14ac:dyDescent="0.3">
      <c r="A56" s="64" t="s">
        <v>181</v>
      </c>
      <c r="B56" s="1" t="s">
        <v>182</v>
      </c>
      <c r="C56" s="1" t="s">
        <v>481</v>
      </c>
      <c r="D56" s="1" t="s">
        <v>183</v>
      </c>
      <c r="E56" s="1" t="s">
        <v>479</v>
      </c>
      <c r="F56" s="1" t="s">
        <v>245</v>
      </c>
      <c r="G56" s="1" t="s">
        <v>243</v>
      </c>
      <c r="H56" s="1">
        <v>2002</v>
      </c>
      <c r="I56" s="1">
        <f t="shared" si="1"/>
        <v>2.5499999999999998</v>
      </c>
      <c r="K56" s="1">
        <v>931.66</v>
      </c>
    </row>
    <row r="57" spans="1:11" x14ac:dyDescent="0.3">
      <c r="A57" s="64" t="s">
        <v>181</v>
      </c>
      <c r="B57" s="1" t="s">
        <v>182</v>
      </c>
      <c r="C57" s="1" t="s">
        <v>481</v>
      </c>
      <c r="D57" s="1" t="s">
        <v>183</v>
      </c>
      <c r="E57" s="1" t="s">
        <v>479</v>
      </c>
      <c r="F57" s="1" t="s">
        <v>245</v>
      </c>
      <c r="G57" s="1" t="s">
        <v>243</v>
      </c>
      <c r="H57" s="1">
        <v>2003</v>
      </c>
      <c r="I57" s="1">
        <f t="shared" si="1"/>
        <v>2.71</v>
      </c>
      <c r="K57" s="1">
        <v>988.51</v>
      </c>
    </row>
    <row r="58" spans="1:11" x14ac:dyDescent="0.3">
      <c r="A58" s="64" t="s">
        <v>181</v>
      </c>
      <c r="B58" s="1" t="s">
        <v>182</v>
      </c>
      <c r="C58" s="1" t="s">
        <v>481</v>
      </c>
      <c r="D58" s="1" t="s">
        <v>183</v>
      </c>
      <c r="E58" s="1" t="s">
        <v>479</v>
      </c>
      <c r="F58" s="1" t="s">
        <v>245</v>
      </c>
      <c r="G58" s="1" t="s">
        <v>243</v>
      </c>
      <c r="H58" s="1">
        <v>2004</v>
      </c>
      <c r="I58" s="1">
        <f t="shared" si="1"/>
        <v>2.9</v>
      </c>
      <c r="K58" s="1">
        <v>1058.98</v>
      </c>
    </row>
    <row r="59" spans="1:11" x14ac:dyDescent="0.3">
      <c r="A59" s="64" t="s">
        <v>181</v>
      </c>
      <c r="B59" s="1" t="s">
        <v>182</v>
      </c>
      <c r="C59" s="1" t="s">
        <v>481</v>
      </c>
      <c r="D59" s="1" t="s">
        <v>183</v>
      </c>
      <c r="E59" s="1" t="s">
        <v>479</v>
      </c>
      <c r="F59" s="1" t="s">
        <v>245</v>
      </c>
      <c r="G59" s="1" t="s">
        <v>243</v>
      </c>
      <c r="H59" s="1">
        <v>2005</v>
      </c>
      <c r="I59" s="1">
        <f t="shared" si="1"/>
        <v>3.04</v>
      </c>
      <c r="K59" s="1">
        <v>1108.99</v>
      </c>
    </row>
    <row r="60" spans="1:11" x14ac:dyDescent="0.3">
      <c r="A60" s="64" t="s">
        <v>181</v>
      </c>
      <c r="B60" s="1" t="s">
        <v>182</v>
      </c>
      <c r="C60" s="1" t="s">
        <v>481</v>
      </c>
      <c r="D60" s="1" t="s">
        <v>183</v>
      </c>
      <c r="E60" s="1" t="s">
        <v>479</v>
      </c>
      <c r="F60" s="1" t="s">
        <v>245</v>
      </c>
      <c r="G60" s="1" t="s">
        <v>243</v>
      </c>
      <c r="H60" s="1">
        <v>2006</v>
      </c>
      <c r="I60" s="1">
        <f t="shared" si="1"/>
        <v>3.02</v>
      </c>
      <c r="K60" s="1">
        <v>1102.67</v>
      </c>
    </row>
    <row r="61" spans="1:11" x14ac:dyDescent="0.3">
      <c r="A61" s="64" t="s">
        <v>181</v>
      </c>
      <c r="B61" s="1" t="s">
        <v>182</v>
      </c>
      <c r="C61" s="1" t="s">
        <v>481</v>
      </c>
      <c r="D61" s="1" t="s">
        <v>183</v>
      </c>
      <c r="E61" s="1" t="s">
        <v>479</v>
      </c>
      <c r="F61" s="1" t="s">
        <v>245</v>
      </c>
      <c r="G61" s="1" t="s">
        <v>243</v>
      </c>
      <c r="H61" s="1">
        <v>2007</v>
      </c>
      <c r="I61" s="1">
        <f t="shared" si="1"/>
        <v>3.21</v>
      </c>
      <c r="K61" s="1">
        <v>1172.32</v>
      </c>
    </row>
    <row r="62" spans="1:11" x14ac:dyDescent="0.3">
      <c r="A62" s="64" t="s">
        <v>181</v>
      </c>
      <c r="B62" s="1" t="s">
        <v>182</v>
      </c>
      <c r="C62" s="1" t="s">
        <v>481</v>
      </c>
      <c r="D62" s="1" t="s">
        <v>183</v>
      </c>
      <c r="E62" s="1" t="s">
        <v>479</v>
      </c>
      <c r="F62" s="1" t="s">
        <v>245</v>
      </c>
      <c r="G62" s="1" t="s">
        <v>243</v>
      </c>
      <c r="H62" s="1">
        <v>2008</v>
      </c>
      <c r="I62" s="1">
        <f t="shared" si="1"/>
        <v>2.93</v>
      </c>
      <c r="K62" s="1">
        <v>1069</v>
      </c>
    </row>
    <row r="63" spans="1:11" x14ac:dyDescent="0.3">
      <c r="A63" s="64" t="s">
        <v>181</v>
      </c>
      <c r="B63" s="1" t="s">
        <v>182</v>
      </c>
      <c r="C63" s="1" t="s">
        <v>481</v>
      </c>
      <c r="D63" s="1" t="s">
        <v>183</v>
      </c>
      <c r="E63" s="1" t="s">
        <v>479</v>
      </c>
      <c r="F63" s="1" t="s">
        <v>245</v>
      </c>
      <c r="G63" s="1" t="s">
        <v>243</v>
      </c>
      <c r="H63" s="1">
        <v>2009</v>
      </c>
      <c r="I63" s="1">
        <f t="shared" si="1"/>
        <v>2.7</v>
      </c>
      <c r="K63" s="1">
        <v>983.88</v>
      </c>
    </row>
    <row r="64" spans="1:11" x14ac:dyDescent="0.3">
      <c r="A64" s="64" t="s">
        <v>181</v>
      </c>
      <c r="B64" s="1" t="s">
        <v>182</v>
      </c>
      <c r="C64" s="1" t="s">
        <v>481</v>
      </c>
      <c r="D64" s="1" t="s">
        <v>183</v>
      </c>
      <c r="E64" s="1" t="s">
        <v>479</v>
      </c>
      <c r="F64" s="1" t="s">
        <v>245</v>
      </c>
      <c r="G64" s="1" t="s">
        <v>243</v>
      </c>
      <c r="H64" s="1">
        <v>2010</v>
      </c>
      <c r="I64" s="1">
        <f t="shared" si="1"/>
        <v>2.8</v>
      </c>
      <c r="K64" s="1">
        <v>1021.04</v>
      </c>
    </row>
    <row r="65" spans="1:11" x14ac:dyDescent="0.3">
      <c r="A65" s="64" t="s">
        <v>181</v>
      </c>
      <c r="B65" s="1" t="s">
        <v>182</v>
      </c>
      <c r="C65" s="1" t="s">
        <v>481</v>
      </c>
      <c r="D65" s="1" t="s">
        <v>183</v>
      </c>
      <c r="E65" s="1" t="s">
        <v>479</v>
      </c>
      <c r="F65" s="1" t="s">
        <v>245</v>
      </c>
      <c r="G65" s="1" t="s">
        <v>243</v>
      </c>
      <c r="H65" s="1">
        <v>2011</v>
      </c>
      <c r="I65" s="1">
        <f t="shared" si="1"/>
        <v>2.84</v>
      </c>
      <c r="K65" s="1">
        <v>1036.99</v>
      </c>
    </row>
    <row r="66" spans="1:11" x14ac:dyDescent="0.3">
      <c r="A66" s="64" t="s">
        <v>181</v>
      </c>
      <c r="B66" s="1" t="s">
        <v>182</v>
      </c>
      <c r="C66" s="1" t="s">
        <v>481</v>
      </c>
      <c r="D66" s="1" t="s">
        <v>183</v>
      </c>
      <c r="E66" s="1" t="s">
        <v>479</v>
      </c>
      <c r="F66" s="1" t="s">
        <v>245</v>
      </c>
      <c r="G66" s="1" t="s">
        <v>243</v>
      </c>
      <c r="H66" s="1">
        <v>2012</v>
      </c>
      <c r="I66" s="1">
        <f t="shared" si="1"/>
        <v>2.92</v>
      </c>
      <c r="K66" s="1">
        <v>1065.3399999999999</v>
      </c>
    </row>
    <row r="67" spans="1:11" x14ac:dyDescent="0.3">
      <c r="A67" s="64" t="s">
        <v>181</v>
      </c>
      <c r="B67" s="1" t="s">
        <v>182</v>
      </c>
      <c r="C67" s="1" t="s">
        <v>481</v>
      </c>
      <c r="D67" s="1" t="s">
        <v>183</v>
      </c>
      <c r="E67" s="1" t="s">
        <v>479</v>
      </c>
      <c r="F67" s="1" t="s">
        <v>245</v>
      </c>
      <c r="G67" s="1" t="s">
        <v>243</v>
      </c>
      <c r="H67" s="1">
        <v>2013</v>
      </c>
      <c r="I67" s="1">
        <f t="shared" si="1"/>
        <v>3.18</v>
      </c>
      <c r="K67" s="1">
        <v>1158.95</v>
      </c>
    </row>
    <row r="68" spans="1:11" x14ac:dyDescent="0.3">
      <c r="A68" s="64" t="s">
        <v>181</v>
      </c>
      <c r="B68" s="1" t="s">
        <v>182</v>
      </c>
      <c r="C68" s="1" t="s">
        <v>481</v>
      </c>
      <c r="D68" s="1" t="s">
        <v>183</v>
      </c>
      <c r="E68" s="1" t="s">
        <v>479</v>
      </c>
      <c r="F68" s="1" t="s">
        <v>245</v>
      </c>
      <c r="G68" s="1" t="s">
        <v>243</v>
      </c>
      <c r="H68" s="1">
        <v>2014</v>
      </c>
      <c r="I68" s="1">
        <f t="shared" si="1"/>
        <v>3.36</v>
      </c>
      <c r="K68" s="1">
        <v>1226.6099999999999</v>
      </c>
    </row>
    <row r="69" spans="1:11" x14ac:dyDescent="0.3">
      <c r="A69" s="64" t="s">
        <v>181</v>
      </c>
      <c r="B69" s="1" t="s">
        <v>182</v>
      </c>
      <c r="C69" s="1" t="s">
        <v>481</v>
      </c>
      <c r="D69" s="1" t="s">
        <v>183</v>
      </c>
      <c r="E69" s="1" t="s">
        <v>479</v>
      </c>
      <c r="F69" s="1" t="s">
        <v>245</v>
      </c>
      <c r="G69" s="1" t="s">
        <v>243</v>
      </c>
      <c r="H69" s="1">
        <v>2015</v>
      </c>
      <c r="I69" s="1">
        <f t="shared" si="1"/>
        <v>3.03</v>
      </c>
      <c r="K69" s="1">
        <v>1104.3800000000001</v>
      </c>
    </row>
    <row r="70" spans="1:11" x14ac:dyDescent="0.3">
      <c r="A70" s="64" t="s">
        <v>181</v>
      </c>
      <c r="B70" s="1" t="s">
        <v>182</v>
      </c>
      <c r="C70" s="1" t="s">
        <v>481</v>
      </c>
      <c r="D70" s="1" t="s">
        <v>183</v>
      </c>
      <c r="E70" s="1" t="s">
        <v>479</v>
      </c>
      <c r="F70" s="1" t="s">
        <v>245</v>
      </c>
      <c r="G70" s="1" t="s">
        <v>243</v>
      </c>
      <c r="H70" s="1">
        <v>2016</v>
      </c>
      <c r="I70" s="1">
        <f t="shared" si="1"/>
        <v>2.83</v>
      </c>
      <c r="K70" s="1">
        <v>1034.04</v>
      </c>
    </row>
    <row r="71" spans="1:11" x14ac:dyDescent="0.3">
      <c r="A71" s="64" t="s">
        <v>181</v>
      </c>
      <c r="B71" s="1" t="s">
        <v>182</v>
      </c>
      <c r="C71" s="1" t="s">
        <v>481</v>
      </c>
      <c r="D71" s="1" t="s">
        <v>183</v>
      </c>
      <c r="E71" s="1" t="s">
        <v>479</v>
      </c>
      <c r="F71" s="1" t="s">
        <v>245</v>
      </c>
      <c r="G71" s="1" t="s">
        <v>243</v>
      </c>
      <c r="H71" s="1">
        <v>2017</v>
      </c>
      <c r="I71" s="1">
        <f t="shared" si="1"/>
        <v>2.8</v>
      </c>
      <c r="K71" s="1">
        <v>1021.02</v>
      </c>
    </row>
    <row r="72" spans="1:11" x14ac:dyDescent="0.3">
      <c r="A72" s="64" t="s">
        <v>181</v>
      </c>
      <c r="B72" s="1" t="s">
        <v>182</v>
      </c>
      <c r="C72" s="1" t="s">
        <v>481</v>
      </c>
      <c r="D72" s="1" t="s">
        <v>183</v>
      </c>
      <c r="E72" s="1" t="s">
        <v>479</v>
      </c>
      <c r="F72" s="1" t="s">
        <v>245</v>
      </c>
      <c r="G72" s="1" t="s">
        <v>243</v>
      </c>
      <c r="H72" s="1">
        <v>2018</v>
      </c>
      <c r="I72" s="1">
        <f t="shared" si="1"/>
        <v>2.77</v>
      </c>
      <c r="K72" s="1">
        <v>1012.33</v>
      </c>
    </row>
    <row r="73" spans="1:11" x14ac:dyDescent="0.3">
      <c r="A73" s="64" t="s">
        <v>181</v>
      </c>
      <c r="B73" s="1" t="s">
        <v>182</v>
      </c>
      <c r="C73" s="1" t="s">
        <v>481</v>
      </c>
      <c r="D73" s="1" t="s">
        <v>183</v>
      </c>
      <c r="E73" s="1" t="s">
        <v>247</v>
      </c>
      <c r="F73" s="1" t="s">
        <v>245</v>
      </c>
      <c r="G73" s="1" t="s">
        <v>246</v>
      </c>
      <c r="H73" s="1">
        <v>1989</v>
      </c>
      <c r="I73" s="1">
        <f t="shared" si="1"/>
        <v>1.22</v>
      </c>
      <c r="K73" s="1">
        <v>443.59</v>
      </c>
    </row>
    <row r="74" spans="1:11" x14ac:dyDescent="0.3">
      <c r="A74" s="64" t="s">
        <v>181</v>
      </c>
      <c r="B74" s="1" t="s">
        <v>182</v>
      </c>
      <c r="C74" s="1" t="s">
        <v>481</v>
      </c>
      <c r="D74" s="1" t="s">
        <v>183</v>
      </c>
      <c r="E74" s="1" t="s">
        <v>247</v>
      </c>
      <c r="F74" s="1" t="s">
        <v>245</v>
      </c>
      <c r="G74" s="1" t="s">
        <v>246</v>
      </c>
      <c r="H74" s="1">
        <v>1990</v>
      </c>
      <c r="I74" s="1">
        <f t="shared" si="1"/>
        <v>1.04</v>
      </c>
      <c r="K74" s="1">
        <v>379.21</v>
      </c>
    </row>
    <row r="75" spans="1:11" x14ac:dyDescent="0.3">
      <c r="A75" s="64" t="s">
        <v>181</v>
      </c>
      <c r="B75" s="1" t="s">
        <v>182</v>
      </c>
      <c r="C75" s="1" t="s">
        <v>481</v>
      </c>
      <c r="D75" s="1" t="s">
        <v>183</v>
      </c>
      <c r="E75" s="1" t="s">
        <v>247</v>
      </c>
      <c r="F75" s="1" t="s">
        <v>245</v>
      </c>
      <c r="G75" s="1" t="s">
        <v>246</v>
      </c>
      <c r="H75" s="1">
        <v>1991</v>
      </c>
      <c r="I75" s="1">
        <f t="shared" si="1"/>
        <v>0.89</v>
      </c>
      <c r="K75" s="1">
        <v>323.60000000000002</v>
      </c>
    </row>
    <row r="76" spans="1:11" x14ac:dyDescent="0.3">
      <c r="A76" s="64" t="s">
        <v>181</v>
      </c>
      <c r="B76" s="1" t="s">
        <v>182</v>
      </c>
      <c r="C76" s="1" t="s">
        <v>481</v>
      </c>
      <c r="D76" s="1" t="s">
        <v>183</v>
      </c>
      <c r="E76" s="1" t="s">
        <v>247</v>
      </c>
      <c r="F76" s="1" t="s">
        <v>245</v>
      </c>
      <c r="G76" s="1" t="s">
        <v>246</v>
      </c>
      <c r="H76" s="1">
        <v>1992</v>
      </c>
      <c r="I76" s="1">
        <f t="shared" si="1"/>
        <v>0.72</v>
      </c>
      <c r="K76" s="1">
        <v>262.45</v>
      </c>
    </row>
    <row r="77" spans="1:11" x14ac:dyDescent="0.3">
      <c r="A77" s="64" t="s">
        <v>181</v>
      </c>
      <c r="B77" s="1" t="s">
        <v>182</v>
      </c>
      <c r="C77" s="1" t="s">
        <v>481</v>
      </c>
      <c r="D77" s="1" t="s">
        <v>183</v>
      </c>
      <c r="E77" s="1" t="s">
        <v>247</v>
      </c>
      <c r="F77" s="1" t="s">
        <v>245</v>
      </c>
      <c r="G77" s="1" t="s">
        <v>246</v>
      </c>
      <c r="H77" s="1">
        <v>1993</v>
      </c>
      <c r="I77" s="1">
        <f t="shared" si="1"/>
        <v>0.66</v>
      </c>
      <c r="K77" s="1">
        <v>242.44</v>
      </c>
    </row>
    <row r="78" spans="1:11" x14ac:dyDescent="0.3">
      <c r="A78" s="64" t="s">
        <v>181</v>
      </c>
      <c r="B78" s="1" t="s">
        <v>182</v>
      </c>
      <c r="C78" s="1" t="s">
        <v>481</v>
      </c>
      <c r="D78" s="1" t="s">
        <v>183</v>
      </c>
      <c r="E78" s="1" t="s">
        <v>247</v>
      </c>
      <c r="F78" s="1" t="s">
        <v>245</v>
      </c>
      <c r="G78" s="1" t="s">
        <v>246</v>
      </c>
      <c r="H78" s="1">
        <v>1994</v>
      </c>
      <c r="I78" s="1">
        <f t="shared" si="1"/>
        <v>0.64</v>
      </c>
      <c r="K78" s="1">
        <v>234.38</v>
      </c>
    </row>
    <row r="79" spans="1:11" x14ac:dyDescent="0.3">
      <c r="A79" s="64" t="s">
        <v>181</v>
      </c>
      <c r="B79" s="1" t="s">
        <v>182</v>
      </c>
      <c r="C79" s="1" t="s">
        <v>481</v>
      </c>
      <c r="D79" s="1" t="s">
        <v>183</v>
      </c>
      <c r="E79" s="1" t="s">
        <v>247</v>
      </c>
      <c r="F79" s="1" t="s">
        <v>245</v>
      </c>
      <c r="G79" s="1" t="s">
        <v>246</v>
      </c>
      <c r="H79" s="1">
        <v>1995</v>
      </c>
      <c r="I79" s="1">
        <f t="shared" si="1"/>
        <v>0.62</v>
      </c>
      <c r="K79" s="1">
        <v>225.79</v>
      </c>
    </row>
    <row r="80" spans="1:11" x14ac:dyDescent="0.3">
      <c r="A80" s="64" t="s">
        <v>181</v>
      </c>
      <c r="B80" s="1" t="s">
        <v>182</v>
      </c>
      <c r="C80" s="1" t="s">
        <v>481</v>
      </c>
      <c r="D80" s="1" t="s">
        <v>183</v>
      </c>
      <c r="E80" s="1" t="s">
        <v>247</v>
      </c>
      <c r="F80" s="1" t="s">
        <v>245</v>
      </c>
      <c r="G80" s="1" t="s">
        <v>246</v>
      </c>
      <c r="H80" s="1">
        <v>1996</v>
      </c>
      <c r="I80" s="1">
        <f t="shared" si="1"/>
        <v>0.7</v>
      </c>
      <c r="K80" s="1">
        <v>255.96</v>
      </c>
    </row>
    <row r="81" spans="1:11" x14ac:dyDescent="0.3">
      <c r="A81" s="64" t="s">
        <v>181</v>
      </c>
      <c r="B81" s="1" t="s">
        <v>182</v>
      </c>
      <c r="C81" s="1" t="s">
        <v>481</v>
      </c>
      <c r="D81" s="1" t="s">
        <v>183</v>
      </c>
      <c r="E81" s="1" t="s">
        <v>247</v>
      </c>
      <c r="F81" s="1" t="s">
        <v>245</v>
      </c>
      <c r="G81" s="1" t="s">
        <v>246</v>
      </c>
      <c r="H81" s="1">
        <v>1997</v>
      </c>
      <c r="I81" s="1">
        <f t="shared" si="1"/>
        <v>0.63</v>
      </c>
      <c r="K81" s="1">
        <v>229.51</v>
      </c>
    </row>
    <row r="82" spans="1:11" x14ac:dyDescent="0.3">
      <c r="A82" s="64" t="s">
        <v>181</v>
      </c>
      <c r="B82" s="1" t="s">
        <v>182</v>
      </c>
      <c r="C82" s="1" t="s">
        <v>481</v>
      </c>
      <c r="D82" s="1" t="s">
        <v>183</v>
      </c>
      <c r="E82" s="1" t="s">
        <v>247</v>
      </c>
      <c r="F82" s="1" t="s">
        <v>245</v>
      </c>
      <c r="G82" s="1" t="s">
        <v>246</v>
      </c>
      <c r="H82" s="1">
        <v>1998</v>
      </c>
      <c r="I82" s="1">
        <f t="shared" si="1"/>
        <v>0.63</v>
      </c>
      <c r="K82" s="1">
        <v>229.84</v>
      </c>
    </row>
    <row r="83" spans="1:11" x14ac:dyDescent="0.3">
      <c r="A83" s="64" t="s">
        <v>181</v>
      </c>
      <c r="B83" s="1" t="s">
        <v>182</v>
      </c>
      <c r="C83" s="1" t="s">
        <v>481</v>
      </c>
      <c r="D83" s="1" t="s">
        <v>183</v>
      </c>
      <c r="E83" s="1" t="s">
        <v>247</v>
      </c>
      <c r="F83" s="1" t="s">
        <v>245</v>
      </c>
      <c r="G83" s="1" t="s">
        <v>246</v>
      </c>
      <c r="H83" s="1">
        <v>1999</v>
      </c>
      <c r="I83" s="1">
        <f t="shared" si="1"/>
        <v>0.6</v>
      </c>
      <c r="K83" s="1">
        <v>219.84</v>
      </c>
    </row>
    <row r="84" spans="1:11" x14ac:dyDescent="0.3">
      <c r="A84" s="64" t="s">
        <v>181</v>
      </c>
      <c r="B84" s="1" t="s">
        <v>182</v>
      </c>
      <c r="C84" s="1" t="s">
        <v>481</v>
      </c>
      <c r="D84" s="1" t="s">
        <v>183</v>
      </c>
      <c r="E84" s="1" t="s">
        <v>247</v>
      </c>
      <c r="F84" s="1" t="s">
        <v>245</v>
      </c>
      <c r="G84" s="1" t="s">
        <v>246</v>
      </c>
      <c r="H84" s="1">
        <v>2000</v>
      </c>
      <c r="I84" s="1">
        <f t="shared" si="1"/>
        <v>0.55000000000000004</v>
      </c>
      <c r="K84" s="1">
        <v>199.78</v>
      </c>
    </row>
    <row r="85" spans="1:11" x14ac:dyDescent="0.3">
      <c r="A85" s="64" t="s">
        <v>181</v>
      </c>
      <c r="B85" s="1" t="s">
        <v>182</v>
      </c>
      <c r="C85" s="1" t="s">
        <v>481</v>
      </c>
      <c r="D85" s="1" t="s">
        <v>183</v>
      </c>
      <c r="E85" s="1" t="s">
        <v>247</v>
      </c>
      <c r="F85" s="1" t="s">
        <v>245</v>
      </c>
      <c r="G85" s="1" t="s">
        <v>246</v>
      </c>
      <c r="H85" s="1">
        <v>2001</v>
      </c>
      <c r="I85" s="1">
        <f t="shared" si="1"/>
        <v>0.47</v>
      </c>
      <c r="K85" s="1">
        <v>173.03</v>
      </c>
    </row>
    <row r="86" spans="1:11" x14ac:dyDescent="0.3">
      <c r="A86" s="64" t="s">
        <v>181</v>
      </c>
      <c r="B86" s="1" t="s">
        <v>182</v>
      </c>
      <c r="C86" s="1" t="s">
        <v>481</v>
      </c>
      <c r="D86" s="1" t="s">
        <v>183</v>
      </c>
      <c r="E86" s="1" t="s">
        <v>247</v>
      </c>
      <c r="F86" s="1" t="s">
        <v>245</v>
      </c>
      <c r="G86" s="1" t="s">
        <v>246</v>
      </c>
      <c r="H86" s="1">
        <v>2002</v>
      </c>
      <c r="I86" s="1">
        <f t="shared" si="1"/>
        <v>0.41</v>
      </c>
      <c r="K86" s="1">
        <v>150.77000000000001</v>
      </c>
    </row>
    <row r="87" spans="1:11" x14ac:dyDescent="0.3">
      <c r="A87" s="64" t="s">
        <v>181</v>
      </c>
      <c r="B87" s="1" t="s">
        <v>182</v>
      </c>
      <c r="C87" s="1" t="s">
        <v>481</v>
      </c>
      <c r="D87" s="1" t="s">
        <v>183</v>
      </c>
      <c r="E87" s="1" t="s">
        <v>247</v>
      </c>
      <c r="F87" s="1" t="s">
        <v>245</v>
      </c>
      <c r="G87" s="1" t="s">
        <v>246</v>
      </c>
      <c r="H87" s="1">
        <v>2003</v>
      </c>
      <c r="I87" s="1">
        <f t="shared" si="1"/>
        <v>0.37</v>
      </c>
      <c r="K87" s="1">
        <v>136.69999999999999</v>
      </c>
    </row>
    <row r="88" spans="1:11" x14ac:dyDescent="0.3">
      <c r="A88" s="64" t="s">
        <v>181</v>
      </c>
      <c r="B88" s="1" t="s">
        <v>182</v>
      </c>
      <c r="C88" s="1" t="s">
        <v>481</v>
      </c>
      <c r="D88" s="1" t="s">
        <v>183</v>
      </c>
      <c r="E88" s="1" t="s">
        <v>247</v>
      </c>
      <c r="F88" s="1" t="s">
        <v>245</v>
      </c>
      <c r="G88" s="1" t="s">
        <v>246</v>
      </c>
      <c r="H88" s="1">
        <v>2004</v>
      </c>
      <c r="I88" s="1">
        <f t="shared" si="1"/>
        <v>0.44</v>
      </c>
      <c r="K88" s="1">
        <v>161.38999999999999</v>
      </c>
    </row>
    <row r="89" spans="1:11" x14ac:dyDescent="0.3">
      <c r="A89" s="64" t="s">
        <v>181</v>
      </c>
      <c r="B89" s="1" t="s">
        <v>182</v>
      </c>
      <c r="C89" s="1" t="s">
        <v>481</v>
      </c>
      <c r="D89" s="1" t="s">
        <v>183</v>
      </c>
      <c r="E89" s="1" t="s">
        <v>247</v>
      </c>
      <c r="F89" s="1" t="s">
        <v>245</v>
      </c>
      <c r="G89" s="1" t="s">
        <v>246</v>
      </c>
      <c r="H89" s="1">
        <v>2005</v>
      </c>
      <c r="I89" s="1">
        <f t="shared" si="1"/>
        <v>0.5</v>
      </c>
      <c r="K89" s="1">
        <v>184.16</v>
      </c>
    </row>
    <row r="90" spans="1:11" x14ac:dyDescent="0.3">
      <c r="A90" s="64" t="s">
        <v>181</v>
      </c>
      <c r="B90" s="1" t="s">
        <v>182</v>
      </c>
      <c r="C90" s="1" t="s">
        <v>481</v>
      </c>
      <c r="D90" s="1" t="s">
        <v>183</v>
      </c>
      <c r="E90" s="1" t="s">
        <v>247</v>
      </c>
      <c r="F90" s="1" t="s">
        <v>245</v>
      </c>
      <c r="G90" s="1" t="s">
        <v>246</v>
      </c>
      <c r="H90" s="1">
        <v>2006</v>
      </c>
      <c r="I90" s="1">
        <f t="shared" si="1"/>
        <v>0.5</v>
      </c>
      <c r="K90" s="1">
        <v>184.05</v>
      </c>
    </row>
    <row r="91" spans="1:11" x14ac:dyDescent="0.3">
      <c r="A91" s="64" t="s">
        <v>181</v>
      </c>
      <c r="B91" s="1" t="s">
        <v>182</v>
      </c>
      <c r="C91" s="1" t="s">
        <v>481</v>
      </c>
      <c r="D91" s="1" t="s">
        <v>183</v>
      </c>
      <c r="E91" s="1" t="s">
        <v>247</v>
      </c>
      <c r="F91" s="1" t="s">
        <v>245</v>
      </c>
      <c r="G91" s="1" t="s">
        <v>246</v>
      </c>
      <c r="H91" s="1">
        <v>2007</v>
      </c>
      <c r="I91" s="1">
        <f t="shared" si="1"/>
        <v>0.54</v>
      </c>
      <c r="K91" s="1">
        <v>197.63</v>
      </c>
    </row>
    <row r="92" spans="1:11" x14ac:dyDescent="0.3">
      <c r="A92" s="64" t="s">
        <v>181</v>
      </c>
      <c r="B92" s="1" t="s">
        <v>182</v>
      </c>
      <c r="C92" s="1" t="s">
        <v>481</v>
      </c>
      <c r="D92" s="1" t="s">
        <v>183</v>
      </c>
      <c r="E92" s="1" t="s">
        <v>247</v>
      </c>
      <c r="F92" s="1" t="s">
        <v>245</v>
      </c>
      <c r="G92" s="1" t="s">
        <v>246</v>
      </c>
      <c r="H92" s="1">
        <v>2008</v>
      </c>
      <c r="I92" s="1">
        <f t="shared" si="1"/>
        <v>0.52</v>
      </c>
      <c r="K92" s="1">
        <v>190.6</v>
      </c>
    </row>
    <row r="93" spans="1:11" x14ac:dyDescent="0.3">
      <c r="A93" s="64" t="s">
        <v>181</v>
      </c>
      <c r="B93" s="1" t="s">
        <v>182</v>
      </c>
      <c r="C93" s="1" t="s">
        <v>481</v>
      </c>
      <c r="D93" s="1" t="s">
        <v>183</v>
      </c>
      <c r="E93" s="1" t="s">
        <v>247</v>
      </c>
      <c r="F93" s="1" t="s">
        <v>245</v>
      </c>
      <c r="G93" s="1" t="s">
        <v>246</v>
      </c>
      <c r="H93" s="1">
        <v>2009</v>
      </c>
      <c r="I93" s="1">
        <f t="shared" si="1"/>
        <v>0.39</v>
      </c>
      <c r="K93" s="1">
        <v>143.16</v>
      </c>
    </row>
    <row r="94" spans="1:11" x14ac:dyDescent="0.3">
      <c r="A94" s="64" t="s">
        <v>181</v>
      </c>
      <c r="B94" s="1" t="s">
        <v>182</v>
      </c>
      <c r="C94" s="1" t="s">
        <v>481</v>
      </c>
      <c r="D94" s="1" t="s">
        <v>183</v>
      </c>
      <c r="E94" s="1" t="s">
        <v>247</v>
      </c>
      <c r="F94" s="1" t="s">
        <v>245</v>
      </c>
      <c r="G94" s="1" t="s">
        <v>246</v>
      </c>
      <c r="H94" s="1">
        <v>2010</v>
      </c>
      <c r="I94" s="1">
        <f t="shared" si="1"/>
        <v>0.48</v>
      </c>
      <c r="K94" s="1">
        <v>174.73</v>
      </c>
    </row>
    <row r="95" spans="1:11" x14ac:dyDescent="0.3">
      <c r="A95" s="64" t="s">
        <v>181</v>
      </c>
      <c r="B95" s="1" t="s">
        <v>182</v>
      </c>
      <c r="C95" s="1" t="s">
        <v>481</v>
      </c>
      <c r="D95" s="1" t="s">
        <v>183</v>
      </c>
      <c r="E95" s="1" t="s">
        <v>247</v>
      </c>
      <c r="F95" s="1" t="s">
        <v>245</v>
      </c>
      <c r="G95" s="1" t="s">
        <v>246</v>
      </c>
      <c r="H95" s="1">
        <v>2011</v>
      </c>
      <c r="I95" s="1">
        <f t="shared" si="1"/>
        <v>0.51</v>
      </c>
      <c r="K95" s="1">
        <v>184.53</v>
      </c>
    </row>
    <row r="96" spans="1:11" x14ac:dyDescent="0.3">
      <c r="A96" s="64" t="s">
        <v>181</v>
      </c>
      <c r="B96" s="1" t="s">
        <v>182</v>
      </c>
      <c r="C96" s="1" t="s">
        <v>481</v>
      </c>
      <c r="D96" s="1" t="s">
        <v>183</v>
      </c>
      <c r="E96" s="1" t="s">
        <v>247</v>
      </c>
      <c r="F96" s="1" t="s">
        <v>245</v>
      </c>
      <c r="G96" s="1" t="s">
        <v>246</v>
      </c>
      <c r="H96" s="1">
        <v>2012</v>
      </c>
      <c r="I96" s="1">
        <f t="shared" si="1"/>
        <v>0.48</v>
      </c>
      <c r="K96" s="1">
        <v>176.11</v>
      </c>
    </row>
    <row r="97" spans="1:11" x14ac:dyDescent="0.3">
      <c r="A97" s="64" t="s">
        <v>181</v>
      </c>
      <c r="B97" s="1" t="s">
        <v>182</v>
      </c>
      <c r="C97" s="1" t="s">
        <v>481</v>
      </c>
      <c r="D97" s="1" t="s">
        <v>183</v>
      </c>
      <c r="E97" s="1" t="s">
        <v>247</v>
      </c>
      <c r="F97" s="1" t="s">
        <v>245</v>
      </c>
      <c r="G97" s="1" t="s">
        <v>246</v>
      </c>
      <c r="H97" s="1">
        <v>2013</v>
      </c>
      <c r="I97" s="1">
        <f t="shared" si="1"/>
        <v>0.39</v>
      </c>
      <c r="K97" s="1">
        <v>143.75</v>
      </c>
    </row>
    <row r="98" spans="1:11" x14ac:dyDescent="0.3">
      <c r="A98" s="64" t="s">
        <v>181</v>
      </c>
      <c r="B98" s="1" t="s">
        <v>182</v>
      </c>
      <c r="C98" s="1" t="s">
        <v>481</v>
      </c>
      <c r="D98" s="1" t="s">
        <v>183</v>
      </c>
      <c r="E98" s="1" t="s">
        <v>247</v>
      </c>
      <c r="F98" s="1" t="s">
        <v>245</v>
      </c>
      <c r="G98" s="1" t="s">
        <v>246</v>
      </c>
      <c r="H98" s="1">
        <v>2014</v>
      </c>
      <c r="I98" s="1">
        <f t="shared" si="1"/>
        <v>0.43</v>
      </c>
      <c r="K98" s="1">
        <v>156.62</v>
      </c>
    </row>
    <row r="99" spans="1:11" x14ac:dyDescent="0.3">
      <c r="A99" s="64" t="s">
        <v>181</v>
      </c>
      <c r="B99" s="1" t="s">
        <v>182</v>
      </c>
      <c r="C99" s="1" t="s">
        <v>481</v>
      </c>
      <c r="D99" s="1" t="s">
        <v>183</v>
      </c>
      <c r="E99" s="1" t="s">
        <v>247</v>
      </c>
      <c r="F99" s="1" t="s">
        <v>245</v>
      </c>
      <c r="G99" s="1" t="s">
        <v>246</v>
      </c>
      <c r="H99" s="1">
        <v>2015</v>
      </c>
      <c r="I99" s="1">
        <f t="shared" si="1"/>
        <v>0.42</v>
      </c>
      <c r="K99" s="1">
        <v>153.66999999999999</v>
      </c>
    </row>
    <row r="100" spans="1:11" x14ac:dyDescent="0.3">
      <c r="A100" s="64" t="s">
        <v>181</v>
      </c>
      <c r="B100" s="1" t="s">
        <v>182</v>
      </c>
      <c r="C100" s="1" t="s">
        <v>481</v>
      </c>
      <c r="D100" s="1" t="s">
        <v>183</v>
      </c>
      <c r="E100" s="1" t="s">
        <v>247</v>
      </c>
      <c r="F100" s="1" t="s">
        <v>245</v>
      </c>
      <c r="G100" s="1" t="s">
        <v>246</v>
      </c>
      <c r="H100" s="1">
        <v>2016</v>
      </c>
      <c r="I100" s="1">
        <f t="shared" si="1"/>
        <v>0.35</v>
      </c>
      <c r="K100" s="1">
        <v>127.32</v>
      </c>
    </row>
    <row r="101" spans="1:11" x14ac:dyDescent="0.3">
      <c r="A101" s="64" t="s">
        <v>181</v>
      </c>
      <c r="B101" s="1" t="s">
        <v>182</v>
      </c>
      <c r="C101" s="1" t="s">
        <v>481</v>
      </c>
      <c r="D101" s="1" t="s">
        <v>183</v>
      </c>
      <c r="E101" s="1" t="s">
        <v>247</v>
      </c>
      <c r="F101" s="1" t="s">
        <v>245</v>
      </c>
      <c r="G101" s="1" t="s">
        <v>246</v>
      </c>
      <c r="H101" s="1">
        <v>2017</v>
      </c>
      <c r="I101" s="1">
        <f t="shared" si="1"/>
        <v>0.3</v>
      </c>
      <c r="K101" s="1">
        <v>108.87</v>
      </c>
    </row>
    <row r="102" spans="1:11" x14ac:dyDescent="0.3">
      <c r="A102" s="64" t="s">
        <v>181</v>
      </c>
      <c r="B102" s="1" t="s">
        <v>182</v>
      </c>
      <c r="C102" s="1" t="s">
        <v>481</v>
      </c>
      <c r="D102" s="1" t="s">
        <v>183</v>
      </c>
      <c r="E102" s="1" t="s">
        <v>247</v>
      </c>
      <c r="F102" s="1" t="s">
        <v>245</v>
      </c>
      <c r="G102" s="1" t="s">
        <v>246</v>
      </c>
      <c r="H102" s="1">
        <v>2018</v>
      </c>
      <c r="I102" s="1">
        <f t="shared" si="1"/>
        <v>0.27</v>
      </c>
      <c r="K102" s="1">
        <v>99.64</v>
      </c>
    </row>
    <row r="103" spans="1:11" x14ac:dyDescent="0.3">
      <c r="A103" s="64" t="s">
        <v>181</v>
      </c>
      <c r="B103" s="1" t="s">
        <v>182</v>
      </c>
      <c r="C103" s="1">
        <v>2017</v>
      </c>
      <c r="D103" s="1" t="s">
        <v>183</v>
      </c>
      <c r="E103" s="1" t="s">
        <v>248</v>
      </c>
      <c r="F103" s="1" t="s">
        <v>245</v>
      </c>
      <c r="G103" s="1" t="s">
        <v>243</v>
      </c>
      <c r="H103" s="1">
        <v>1989</v>
      </c>
      <c r="I103" s="1">
        <v>5</v>
      </c>
    </row>
    <row r="104" spans="1:11" x14ac:dyDescent="0.3">
      <c r="A104" s="64" t="s">
        <v>181</v>
      </c>
      <c r="B104" s="1" t="s">
        <v>182</v>
      </c>
      <c r="C104" s="1">
        <v>2017</v>
      </c>
      <c r="D104" s="1" t="s">
        <v>183</v>
      </c>
      <c r="E104" s="1" t="s">
        <v>248</v>
      </c>
      <c r="F104" s="1" t="s">
        <v>245</v>
      </c>
      <c r="G104" s="1" t="s">
        <v>243</v>
      </c>
      <c r="H104" s="1">
        <v>1990</v>
      </c>
      <c r="I104" s="1">
        <v>5</v>
      </c>
    </row>
    <row r="105" spans="1:11" x14ac:dyDescent="0.3">
      <c r="A105" s="64" t="s">
        <v>181</v>
      </c>
      <c r="B105" s="1" t="s">
        <v>182</v>
      </c>
      <c r="C105" s="1">
        <v>2017</v>
      </c>
      <c r="D105" s="1" t="s">
        <v>183</v>
      </c>
      <c r="E105" s="1" t="s">
        <v>248</v>
      </c>
      <c r="F105" s="1" t="s">
        <v>245</v>
      </c>
      <c r="G105" s="1" t="s">
        <v>243</v>
      </c>
      <c r="H105" s="1">
        <v>1991</v>
      </c>
      <c r="I105" s="1">
        <v>5</v>
      </c>
    </row>
    <row r="106" spans="1:11" x14ac:dyDescent="0.3">
      <c r="A106" s="64" t="s">
        <v>181</v>
      </c>
      <c r="B106" s="1" t="s">
        <v>182</v>
      </c>
      <c r="C106" s="1">
        <v>2017</v>
      </c>
      <c r="D106" s="1" t="s">
        <v>183</v>
      </c>
      <c r="E106" s="1" t="s">
        <v>248</v>
      </c>
      <c r="F106" s="1" t="s">
        <v>245</v>
      </c>
      <c r="G106" s="1" t="s">
        <v>243</v>
      </c>
      <c r="H106" s="1">
        <v>1992</v>
      </c>
      <c r="I106" s="1">
        <v>5</v>
      </c>
    </row>
    <row r="107" spans="1:11" x14ac:dyDescent="0.3">
      <c r="A107" s="64" t="s">
        <v>181</v>
      </c>
      <c r="B107" s="1" t="s">
        <v>182</v>
      </c>
      <c r="C107" s="1">
        <v>2017</v>
      </c>
      <c r="D107" s="1" t="s">
        <v>183</v>
      </c>
      <c r="E107" s="1" t="s">
        <v>248</v>
      </c>
      <c r="F107" s="1" t="s">
        <v>245</v>
      </c>
      <c r="G107" s="1" t="s">
        <v>243</v>
      </c>
      <c r="H107" s="1">
        <v>1993</v>
      </c>
      <c r="I107" s="1">
        <v>5</v>
      </c>
    </row>
    <row r="108" spans="1:11" x14ac:dyDescent="0.3">
      <c r="A108" s="64" t="s">
        <v>181</v>
      </c>
      <c r="B108" s="1" t="s">
        <v>182</v>
      </c>
      <c r="C108" s="1">
        <v>2017</v>
      </c>
      <c r="D108" s="1" t="s">
        <v>183</v>
      </c>
      <c r="E108" s="1" t="s">
        <v>248</v>
      </c>
      <c r="F108" s="1" t="s">
        <v>245</v>
      </c>
      <c r="G108" s="1" t="s">
        <v>243</v>
      </c>
      <c r="H108" s="1">
        <v>1994</v>
      </c>
      <c r="I108" s="1">
        <v>5</v>
      </c>
    </row>
    <row r="109" spans="1:11" x14ac:dyDescent="0.3">
      <c r="A109" s="64" t="s">
        <v>181</v>
      </c>
      <c r="B109" s="1" t="s">
        <v>182</v>
      </c>
      <c r="C109" s="1">
        <v>2017</v>
      </c>
      <c r="D109" s="1" t="s">
        <v>183</v>
      </c>
      <c r="E109" s="1" t="s">
        <v>248</v>
      </c>
      <c r="F109" s="1" t="s">
        <v>245</v>
      </c>
      <c r="G109" s="1" t="s">
        <v>243</v>
      </c>
      <c r="H109" s="1">
        <v>1995</v>
      </c>
      <c r="I109" s="1">
        <v>5</v>
      </c>
    </row>
    <row r="110" spans="1:11" x14ac:dyDescent="0.3">
      <c r="A110" s="64" t="s">
        <v>181</v>
      </c>
      <c r="B110" s="1" t="s">
        <v>182</v>
      </c>
      <c r="C110" s="1">
        <v>2017</v>
      </c>
      <c r="D110" s="1" t="s">
        <v>183</v>
      </c>
      <c r="E110" s="1" t="s">
        <v>248</v>
      </c>
      <c r="F110" s="1" t="s">
        <v>245</v>
      </c>
      <c r="G110" s="1" t="s">
        <v>243</v>
      </c>
      <c r="H110" s="1">
        <v>1996</v>
      </c>
      <c r="I110" s="1">
        <v>5</v>
      </c>
    </row>
    <row r="111" spans="1:11" x14ac:dyDescent="0.3">
      <c r="A111" s="64" t="s">
        <v>181</v>
      </c>
      <c r="B111" s="1" t="s">
        <v>182</v>
      </c>
      <c r="C111" s="1">
        <v>2017</v>
      </c>
      <c r="D111" s="1" t="s">
        <v>183</v>
      </c>
      <c r="E111" s="1" t="s">
        <v>248</v>
      </c>
      <c r="F111" s="1" t="s">
        <v>245</v>
      </c>
      <c r="G111" s="1" t="s">
        <v>243</v>
      </c>
      <c r="H111" s="1">
        <v>1997</v>
      </c>
      <c r="I111" s="1">
        <v>5</v>
      </c>
    </row>
    <row r="112" spans="1:11" x14ac:dyDescent="0.3">
      <c r="A112" s="64" t="s">
        <v>181</v>
      </c>
      <c r="B112" s="1" t="s">
        <v>182</v>
      </c>
      <c r="C112" s="1">
        <v>2017</v>
      </c>
      <c r="D112" s="1" t="s">
        <v>183</v>
      </c>
      <c r="E112" s="1" t="s">
        <v>248</v>
      </c>
      <c r="F112" s="1" t="s">
        <v>245</v>
      </c>
      <c r="G112" s="1" t="s">
        <v>243</v>
      </c>
      <c r="H112" s="1">
        <v>1998</v>
      </c>
      <c r="I112" s="1">
        <v>5</v>
      </c>
    </row>
    <row r="113" spans="1:9" x14ac:dyDescent="0.3">
      <c r="A113" s="64" t="s">
        <v>181</v>
      </c>
      <c r="B113" s="1" t="s">
        <v>182</v>
      </c>
      <c r="C113" s="1">
        <v>2017</v>
      </c>
      <c r="D113" s="1" t="s">
        <v>183</v>
      </c>
      <c r="E113" s="1" t="s">
        <v>248</v>
      </c>
      <c r="F113" s="1" t="s">
        <v>245</v>
      </c>
      <c r="G113" s="1" t="s">
        <v>243</v>
      </c>
      <c r="H113" s="1">
        <v>1999</v>
      </c>
      <c r="I113" s="1">
        <v>5</v>
      </c>
    </row>
    <row r="114" spans="1:9" x14ac:dyDescent="0.3">
      <c r="A114" s="64" t="s">
        <v>181</v>
      </c>
      <c r="B114" s="1" t="s">
        <v>182</v>
      </c>
      <c r="C114" s="1">
        <v>2017</v>
      </c>
      <c r="D114" s="1" t="s">
        <v>183</v>
      </c>
      <c r="E114" s="1" t="s">
        <v>248</v>
      </c>
      <c r="F114" s="1" t="s">
        <v>245</v>
      </c>
      <c r="G114" s="1" t="s">
        <v>243</v>
      </c>
      <c r="H114" s="1">
        <v>2000</v>
      </c>
      <c r="I114" s="1">
        <v>5</v>
      </c>
    </row>
    <row r="115" spans="1:9" x14ac:dyDescent="0.3">
      <c r="A115" s="64" t="s">
        <v>181</v>
      </c>
      <c r="B115" s="1" t="s">
        <v>182</v>
      </c>
      <c r="C115" s="1">
        <v>2017</v>
      </c>
      <c r="D115" s="1" t="s">
        <v>183</v>
      </c>
      <c r="E115" s="1" t="s">
        <v>248</v>
      </c>
      <c r="F115" s="1" t="s">
        <v>245</v>
      </c>
      <c r="G115" s="1" t="s">
        <v>243</v>
      </c>
      <c r="H115" s="1">
        <v>2001</v>
      </c>
      <c r="I115" s="1">
        <v>5</v>
      </c>
    </row>
    <row r="116" spans="1:9" x14ac:dyDescent="0.3">
      <c r="A116" s="64" t="s">
        <v>181</v>
      </c>
      <c r="B116" s="1" t="s">
        <v>182</v>
      </c>
      <c r="C116" s="1">
        <v>2017</v>
      </c>
      <c r="D116" s="1" t="s">
        <v>183</v>
      </c>
      <c r="E116" s="1" t="s">
        <v>248</v>
      </c>
      <c r="F116" s="1" t="s">
        <v>245</v>
      </c>
      <c r="G116" s="1" t="s">
        <v>243</v>
      </c>
      <c r="H116" s="1">
        <v>2002</v>
      </c>
      <c r="I116" s="1">
        <v>5</v>
      </c>
    </row>
    <row r="117" spans="1:9" x14ac:dyDescent="0.3">
      <c r="A117" s="64" t="s">
        <v>181</v>
      </c>
      <c r="B117" s="1" t="s">
        <v>182</v>
      </c>
      <c r="C117" s="1">
        <v>2017</v>
      </c>
      <c r="D117" s="1" t="s">
        <v>183</v>
      </c>
      <c r="E117" s="1" t="s">
        <v>248</v>
      </c>
      <c r="F117" s="1" t="s">
        <v>245</v>
      </c>
      <c r="G117" s="1" t="s">
        <v>243</v>
      </c>
      <c r="H117" s="1">
        <v>2003</v>
      </c>
      <c r="I117" s="1">
        <v>5</v>
      </c>
    </row>
    <row r="118" spans="1:9" x14ac:dyDescent="0.3">
      <c r="A118" s="64" t="s">
        <v>181</v>
      </c>
      <c r="B118" s="1" t="s">
        <v>182</v>
      </c>
      <c r="C118" s="1">
        <v>2017</v>
      </c>
      <c r="D118" s="1" t="s">
        <v>183</v>
      </c>
      <c r="E118" s="1" t="s">
        <v>248</v>
      </c>
      <c r="F118" s="1" t="s">
        <v>245</v>
      </c>
      <c r="G118" s="1" t="s">
        <v>243</v>
      </c>
      <c r="H118" s="1">
        <v>2004</v>
      </c>
      <c r="I118" s="1">
        <v>5</v>
      </c>
    </row>
    <row r="119" spans="1:9" x14ac:dyDescent="0.3">
      <c r="A119" s="64" t="s">
        <v>181</v>
      </c>
      <c r="B119" s="1" t="s">
        <v>182</v>
      </c>
      <c r="C119" s="1">
        <v>2017</v>
      </c>
      <c r="D119" s="1" t="s">
        <v>183</v>
      </c>
      <c r="E119" s="1" t="s">
        <v>248</v>
      </c>
      <c r="F119" s="1" t="s">
        <v>245</v>
      </c>
      <c r="G119" s="1" t="s">
        <v>243</v>
      </c>
      <c r="H119" s="1">
        <v>2005</v>
      </c>
      <c r="I119" s="1">
        <v>5</v>
      </c>
    </row>
    <row r="120" spans="1:9" x14ac:dyDescent="0.3">
      <c r="A120" s="64" t="s">
        <v>181</v>
      </c>
      <c r="B120" s="1" t="s">
        <v>182</v>
      </c>
      <c r="C120" s="1">
        <v>2017</v>
      </c>
      <c r="D120" s="1" t="s">
        <v>183</v>
      </c>
      <c r="E120" s="1" t="s">
        <v>248</v>
      </c>
      <c r="F120" s="1" t="s">
        <v>245</v>
      </c>
      <c r="G120" s="1" t="s">
        <v>243</v>
      </c>
      <c r="H120" s="1">
        <v>2006</v>
      </c>
      <c r="I120" s="1">
        <v>5</v>
      </c>
    </row>
    <row r="121" spans="1:9" x14ac:dyDescent="0.3">
      <c r="A121" s="64" t="s">
        <v>181</v>
      </c>
      <c r="B121" s="1" t="s">
        <v>182</v>
      </c>
      <c r="C121" s="1">
        <v>2017</v>
      </c>
      <c r="D121" s="1" t="s">
        <v>183</v>
      </c>
      <c r="E121" s="1" t="s">
        <v>248</v>
      </c>
      <c r="F121" s="1" t="s">
        <v>245</v>
      </c>
      <c r="G121" s="1" t="s">
        <v>243</v>
      </c>
      <c r="H121" s="1">
        <v>2007</v>
      </c>
      <c r="I121" s="1">
        <v>5</v>
      </c>
    </row>
    <row r="122" spans="1:9" x14ac:dyDescent="0.3">
      <c r="A122" s="64" t="s">
        <v>181</v>
      </c>
      <c r="B122" s="1" t="s">
        <v>182</v>
      </c>
      <c r="C122" s="1">
        <v>2017</v>
      </c>
      <c r="D122" s="1" t="s">
        <v>183</v>
      </c>
      <c r="E122" s="1" t="s">
        <v>248</v>
      </c>
      <c r="F122" s="1" t="s">
        <v>245</v>
      </c>
      <c r="G122" s="1" t="s">
        <v>243</v>
      </c>
      <c r="H122" s="1">
        <v>2008</v>
      </c>
      <c r="I122" s="1">
        <v>5</v>
      </c>
    </row>
    <row r="123" spans="1:9" x14ac:dyDescent="0.3">
      <c r="A123" s="64" t="s">
        <v>181</v>
      </c>
      <c r="B123" s="1" t="s">
        <v>182</v>
      </c>
      <c r="C123" s="1">
        <v>2017</v>
      </c>
      <c r="D123" s="1" t="s">
        <v>183</v>
      </c>
      <c r="E123" s="1" t="s">
        <v>248</v>
      </c>
      <c r="F123" s="1" t="s">
        <v>245</v>
      </c>
      <c r="G123" s="1" t="s">
        <v>243</v>
      </c>
      <c r="H123" s="1">
        <v>2009</v>
      </c>
      <c r="I123" s="1">
        <v>5</v>
      </c>
    </row>
    <row r="124" spans="1:9" x14ac:dyDescent="0.3">
      <c r="A124" s="64" t="s">
        <v>181</v>
      </c>
      <c r="B124" s="1" t="s">
        <v>182</v>
      </c>
      <c r="C124" s="1">
        <v>2017</v>
      </c>
      <c r="D124" s="1" t="s">
        <v>183</v>
      </c>
      <c r="E124" s="1" t="s">
        <v>248</v>
      </c>
      <c r="F124" s="1" t="s">
        <v>245</v>
      </c>
      <c r="G124" s="1" t="s">
        <v>243</v>
      </c>
      <c r="H124" s="1">
        <v>2010</v>
      </c>
      <c r="I124" s="1">
        <v>5</v>
      </c>
    </row>
    <row r="125" spans="1:9" x14ac:dyDescent="0.3">
      <c r="A125" s="64" t="s">
        <v>181</v>
      </c>
      <c r="B125" s="1" t="s">
        <v>182</v>
      </c>
      <c r="C125" s="1">
        <v>2017</v>
      </c>
      <c r="D125" s="1" t="s">
        <v>183</v>
      </c>
      <c r="E125" s="1" t="s">
        <v>248</v>
      </c>
      <c r="F125" s="1" t="s">
        <v>245</v>
      </c>
      <c r="G125" s="1" t="s">
        <v>243</v>
      </c>
      <c r="H125" s="1">
        <v>2011</v>
      </c>
      <c r="I125" s="1">
        <v>5</v>
      </c>
    </row>
    <row r="126" spans="1:9" x14ac:dyDescent="0.3">
      <c r="A126" s="64" t="s">
        <v>181</v>
      </c>
      <c r="B126" s="1" t="s">
        <v>182</v>
      </c>
      <c r="C126" s="1">
        <v>2017</v>
      </c>
      <c r="D126" s="1" t="s">
        <v>183</v>
      </c>
      <c r="E126" s="1" t="s">
        <v>248</v>
      </c>
      <c r="F126" s="1" t="s">
        <v>245</v>
      </c>
      <c r="G126" s="1" t="s">
        <v>243</v>
      </c>
      <c r="H126" s="1">
        <v>2012</v>
      </c>
      <c r="I126" s="1">
        <v>5</v>
      </c>
    </row>
    <row r="127" spans="1:9" x14ac:dyDescent="0.3">
      <c r="A127" s="64" t="s">
        <v>181</v>
      </c>
      <c r="B127" s="1" t="s">
        <v>182</v>
      </c>
      <c r="C127" s="1">
        <v>2017</v>
      </c>
      <c r="D127" s="1" t="s">
        <v>183</v>
      </c>
      <c r="E127" s="1" t="s">
        <v>248</v>
      </c>
      <c r="F127" s="1" t="s">
        <v>245</v>
      </c>
      <c r="G127" s="1" t="s">
        <v>243</v>
      </c>
      <c r="H127" s="1">
        <v>2013</v>
      </c>
      <c r="I127" s="1">
        <v>5</v>
      </c>
    </row>
    <row r="128" spans="1:9" x14ac:dyDescent="0.3">
      <c r="A128" s="64" t="s">
        <v>181</v>
      </c>
      <c r="B128" s="1" t="s">
        <v>182</v>
      </c>
      <c r="C128" s="1">
        <v>2017</v>
      </c>
      <c r="D128" s="1" t="s">
        <v>183</v>
      </c>
      <c r="E128" s="1" t="s">
        <v>248</v>
      </c>
      <c r="F128" s="1" t="s">
        <v>245</v>
      </c>
      <c r="G128" s="1" t="s">
        <v>243</v>
      </c>
      <c r="H128" s="1">
        <v>2014</v>
      </c>
      <c r="I128" s="1">
        <v>5</v>
      </c>
    </row>
    <row r="129" spans="1:9" x14ac:dyDescent="0.3">
      <c r="A129" s="64" t="s">
        <v>181</v>
      </c>
      <c r="B129" s="1" t="s">
        <v>182</v>
      </c>
      <c r="C129" s="1">
        <v>2017</v>
      </c>
      <c r="D129" s="1" t="s">
        <v>183</v>
      </c>
      <c r="E129" s="1" t="s">
        <v>248</v>
      </c>
      <c r="F129" s="1" t="s">
        <v>245</v>
      </c>
      <c r="G129" s="1" t="s">
        <v>243</v>
      </c>
      <c r="H129" s="1">
        <v>2015</v>
      </c>
      <c r="I129" s="1">
        <v>5</v>
      </c>
    </row>
    <row r="130" spans="1:9" x14ac:dyDescent="0.3">
      <c r="A130" s="64" t="s">
        <v>181</v>
      </c>
      <c r="B130" s="1" t="s">
        <v>182</v>
      </c>
      <c r="C130" s="1">
        <v>2017</v>
      </c>
      <c r="D130" s="1" t="s">
        <v>183</v>
      </c>
      <c r="E130" s="1" t="s">
        <v>248</v>
      </c>
      <c r="F130" s="1" t="s">
        <v>245</v>
      </c>
      <c r="G130" s="1" t="s">
        <v>243</v>
      </c>
      <c r="H130" s="1">
        <v>2016</v>
      </c>
      <c r="I130" s="1">
        <v>5</v>
      </c>
    </row>
    <row r="131" spans="1:9" x14ac:dyDescent="0.3">
      <c r="A131" s="64" t="s">
        <v>181</v>
      </c>
      <c r="B131" s="1" t="s">
        <v>182</v>
      </c>
      <c r="C131" s="1">
        <v>2017</v>
      </c>
      <c r="D131" s="1" t="s">
        <v>183</v>
      </c>
      <c r="E131" s="1" t="s">
        <v>248</v>
      </c>
      <c r="F131" s="1" t="s">
        <v>245</v>
      </c>
      <c r="G131" s="1" t="s">
        <v>243</v>
      </c>
      <c r="H131" s="1">
        <v>2017</v>
      </c>
      <c r="I131" s="1">
        <v>5</v>
      </c>
    </row>
    <row r="132" spans="1:9" x14ac:dyDescent="0.3">
      <c r="A132" s="64" t="s">
        <v>181</v>
      </c>
      <c r="B132" s="1" t="s">
        <v>182</v>
      </c>
      <c r="C132" s="1">
        <v>2017</v>
      </c>
      <c r="D132" s="1" t="s">
        <v>183</v>
      </c>
      <c r="E132" s="1" t="s">
        <v>248</v>
      </c>
      <c r="F132" s="1" t="s">
        <v>245</v>
      </c>
      <c r="G132" s="1" t="s">
        <v>243</v>
      </c>
      <c r="H132" s="1">
        <v>2018</v>
      </c>
      <c r="I132" s="1">
        <v>5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F21" sqref="F21"/>
    </sheetView>
  </sheetViews>
  <sheetFormatPr defaultColWidth="8.77734375" defaultRowHeight="14.4" x14ac:dyDescent="0.3"/>
  <cols>
    <col min="1" max="4" width="8.77734375" style="1"/>
    <col min="5" max="5" width="11.77734375" style="1" bestFit="1" customWidth="1"/>
    <col min="6" max="6" width="14.77734375" style="1" bestFit="1" customWidth="1"/>
    <col min="7" max="16384" width="8.77734375" style="1"/>
  </cols>
  <sheetData>
    <row r="1" spans="1:8" x14ac:dyDescent="0.3">
      <c r="A1" s="2" t="s">
        <v>0</v>
      </c>
      <c r="B1" s="2" t="s">
        <v>27</v>
      </c>
      <c r="C1" s="2" t="s">
        <v>2</v>
      </c>
      <c r="D1" s="2" t="s">
        <v>110</v>
      </c>
      <c r="E1" s="2" t="s">
        <v>140</v>
      </c>
      <c r="F1" s="2" t="s">
        <v>141</v>
      </c>
      <c r="G1" s="2" t="s">
        <v>142</v>
      </c>
      <c r="H1" s="2" t="s">
        <v>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opLeftCell="C92" workbookViewId="0">
      <selection activeCell="K118" sqref="K118"/>
    </sheetView>
  </sheetViews>
  <sheetFormatPr defaultColWidth="8.77734375" defaultRowHeight="14.4" x14ac:dyDescent="0.3"/>
  <cols>
    <col min="1" max="4" width="8.77734375" style="1"/>
    <col min="5" max="5" width="24.5546875" style="1" customWidth="1"/>
    <col min="6" max="7" width="8.77734375" style="1"/>
    <col min="8" max="8" width="10.109375" style="1" bestFit="1" customWidth="1"/>
    <col min="9" max="11" width="8.77734375" style="1"/>
    <col min="12" max="12" width="9" style="1" bestFit="1" customWidth="1"/>
    <col min="13" max="17" width="8.77734375" style="1"/>
    <col min="18" max="18" width="11.6640625" style="1" bestFit="1" customWidth="1"/>
    <col min="19" max="19" width="10.6640625" style="1" bestFit="1" customWidth="1"/>
    <col min="20" max="16384" width="8.777343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143</v>
      </c>
      <c r="F1" s="2" t="s">
        <v>109</v>
      </c>
      <c r="G1" s="2" t="s">
        <v>110</v>
      </c>
      <c r="H1" s="5" t="s">
        <v>144</v>
      </c>
      <c r="I1" s="4" t="s">
        <v>145</v>
      </c>
      <c r="J1" s="4" t="s">
        <v>31</v>
      </c>
      <c r="K1" s="2" t="s">
        <v>146</v>
      </c>
      <c r="L1" s="2" t="s">
        <v>147</v>
      </c>
      <c r="M1" s="4" t="s">
        <v>96</v>
      </c>
    </row>
    <row r="2" spans="1:13" x14ac:dyDescent="0.3">
      <c r="A2" s="64" t="s">
        <v>181</v>
      </c>
      <c r="B2" s="1" t="s">
        <v>182</v>
      </c>
      <c r="C2" s="1">
        <v>1994</v>
      </c>
      <c r="D2" s="1" t="s">
        <v>183</v>
      </c>
      <c r="E2" s="1" t="s">
        <v>250</v>
      </c>
      <c r="F2" s="1" t="s">
        <v>261</v>
      </c>
      <c r="G2" s="1">
        <v>1992</v>
      </c>
      <c r="H2" s="1">
        <v>56364000</v>
      </c>
      <c r="I2" s="1" t="s">
        <v>194</v>
      </c>
      <c r="J2" s="1" t="s">
        <v>480</v>
      </c>
      <c r="K2" s="56">
        <f>ROUND(H2/(975.32*1000000)*100,2)</f>
        <v>5.78</v>
      </c>
    </row>
    <row r="3" spans="1:13" x14ac:dyDescent="0.3">
      <c r="A3" s="64" t="s">
        <v>181</v>
      </c>
      <c r="B3" s="1" t="s">
        <v>182</v>
      </c>
      <c r="C3" s="1">
        <v>1994</v>
      </c>
      <c r="D3" s="1" t="s">
        <v>183</v>
      </c>
      <c r="E3" s="1" t="s">
        <v>251</v>
      </c>
      <c r="F3" s="1" t="s">
        <v>261</v>
      </c>
      <c r="G3" s="1">
        <v>1992</v>
      </c>
      <c r="H3" s="1">
        <v>41128000</v>
      </c>
      <c r="I3" s="1" t="s">
        <v>194</v>
      </c>
      <c r="J3" s="1" t="s">
        <v>480</v>
      </c>
      <c r="K3" s="56">
        <f t="shared" ref="K3:K15" si="0">ROUND(H3/(975.32*1000000)*100,2)</f>
        <v>4.22</v>
      </c>
    </row>
    <row r="4" spans="1:13" x14ac:dyDescent="0.3">
      <c r="A4" s="64" t="s">
        <v>181</v>
      </c>
      <c r="B4" s="1" t="s">
        <v>182</v>
      </c>
      <c r="C4" s="1">
        <v>1994</v>
      </c>
      <c r="D4" s="1" t="s">
        <v>183</v>
      </c>
      <c r="E4" s="1" t="s">
        <v>252</v>
      </c>
      <c r="F4" s="1" t="s">
        <v>261</v>
      </c>
      <c r="G4" s="1">
        <v>1992</v>
      </c>
      <c r="H4" s="1">
        <v>34854000</v>
      </c>
      <c r="I4" s="1" t="s">
        <v>194</v>
      </c>
      <c r="J4" s="1" t="s">
        <v>480</v>
      </c>
      <c r="K4" s="56">
        <f t="shared" si="0"/>
        <v>3.57</v>
      </c>
    </row>
    <row r="5" spans="1:13" x14ac:dyDescent="0.3">
      <c r="A5" s="64" t="s">
        <v>181</v>
      </c>
      <c r="B5" s="1" t="s">
        <v>182</v>
      </c>
      <c r="C5" s="1">
        <v>1994</v>
      </c>
      <c r="D5" s="1" t="s">
        <v>183</v>
      </c>
      <c r="E5" s="1" t="s">
        <v>253</v>
      </c>
      <c r="F5" s="1" t="s">
        <v>261</v>
      </c>
      <c r="G5" s="1">
        <v>1992</v>
      </c>
      <c r="H5" s="1">
        <v>34373000</v>
      </c>
      <c r="I5" s="1" t="s">
        <v>194</v>
      </c>
      <c r="J5" s="1" t="s">
        <v>480</v>
      </c>
      <c r="K5" s="56">
        <f t="shared" si="0"/>
        <v>3.52</v>
      </c>
    </row>
    <row r="6" spans="1:13" x14ac:dyDescent="0.3">
      <c r="A6" s="64" t="s">
        <v>181</v>
      </c>
      <c r="B6" s="1" t="s">
        <v>182</v>
      </c>
      <c r="C6" s="1">
        <v>1994</v>
      </c>
      <c r="D6" s="1" t="s">
        <v>183</v>
      </c>
      <c r="E6" s="1" t="s">
        <v>254</v>
      </c>
      <c r="F6" s="1" t="s">
        <v>261</v>
      </c>
      <c r="G6" s="1">
        <v>1992</v>
      </c>
      <c r="H6" s="1">
        <v>28277000</v>
      </c>
      <c r="I6" s="1" t="s">
        <v>194</v>
      </c>
      <c r="J6" s="1" t="s">
        <v>480</v>
      </c>
      <c r="K6" s="56">
        <f t="shared" si="0"/>
        <v>2.9</v>
      </c>
    </row>
    <row r="7" spans="1:13" x14ac:dyDescent="0.3">
      <c r="A7" s="64" t="s">
        <v>181</v>
      </c>
      <c r="B7" s="1" t="s">
        <v>182</v>
      </c>
      <c r="C7" s="1">
        <v>1994</v>
      </c>
      <c r="D7" s="1" t="s">
        <v>183</v>
      </c>
      <c r="E7" s="1" t="s">
        <v>255</v>
      </c>
      <c r="F7" s="1" t="s">
        <v>261</v>
      </c>
      <c r="G7" s="1">
        <v>1992</v>
      </c>
      <c r="H7" s="1">
        <v>15626000</v>
      </c>
      <c r="I7" s="1" t="s">
        <v>194</v>
      </c>
      <c r="J7" s="1" t="s">
        <v>480</v>
      </c>
      <c r="K7" s="56">
        <f t="shared" si="0"/>
        <v>1.6</v>
      </c>
    </row>
    <row r="8" spans="1:13" x14ac:dyDescent="0.3">
      <c r="A8" s="64" t="s">
        <v>181</v>
      </c>
      <c r="B8" s="1" t="s">
        <v>182</v>
      </c>
      <c r="C8" s="1">
        <v>1994</v>
      </c>
      <c r="D8" s="1" t="s">
        <v>183</v>
      </c>
      <c r="E8" s="1" t="s">
        <v>262</v>
      </c>
      <c r="F8" s="1" t="s">
        <v>261</v>
      </c>
      <c r="G8" s="1">
        <v>1992</v>
      </c>
      <c r="H8" s="1">
        <v>10606000</v>
      </c>
      <c r="I8" s="1" t="s">
        <v>194</v>
      </c>
      <c r="J8" s="1" t="s">
        <v>480</v>
      </c>
      <c r="K8" s="56">
        <f t="shared" si="0"/>
        <v>1.0900000000000001</v>
      </c>
    </row>
    <row r="9" spans="1:13" x14ac:dyDescent="0.3">
      <c r="A9" s="64" t="s">
        <v>181</v>
      </c>
      <c r="B9" s="1" t="s">
        <v>182</v>
      </c>
      <c r="C9" s="1">
        <v>1994</v>
      </c>
      <c r="D9" s="1" t="s">
        <v>183</v>
      </c>
      <c r="E9" s="1" t="s">
        <v>256</v>
      </c>
      <c r="F9" s="1" t="s">
        <v>263</v>
      </c>
      <c r="G9" s="1">
        <v>1992</v>
      </c>
      <c r="H9" s="1">
        <v>9587000</v>
      </c>
      <c r="I9" s="1" t="s">
        <v>194</v>
      </c>
      <c r="J9" s="1" t="s">
        <v>480</v>
      </c>
      <c r="K9" s="56">
        <f t="shared" si="0"/>
        <v>0.98</v>
      </c>
    </row>
    <row r="10" spans="1:13" x14ac:dyDescent="0.3">
      <c r="A10" s="64" t="s">
        <v>181</v>
      </c>
      <c r="B10" s="1" t="s">
        <v>182</v>
      </c>
      <c r="C10" s="1">
        <v>1994</v>
      </c>
      <c r="D10" s="1" t="s">
        <v>183</v>
      </c>
      <c r="E10" s="1" t="s">
        <v>257</v>
      </c>
      <c r="F10" s="1" t="s">
        <v>261</v>
      </c>
      <c r="G10" s="1">
        <v>1992</v>
      </c>
      <c r="H10" s="1">
        <v>5552000</v>
      </c>
      <c r="I10" s="1" t="s">
        <v>194</v>
      </c>
      <c r="J10" s="1" t="s">
        <v>480</v>
      </c>
      <c r="K10" s="56">
        <f t="shared" si="0"/>
        <v>0.56999999999999995</v>
      </c>
    </row>
    <row r="11" spans="1:13" x14ac:dyDescent="0.3">
      <c r="A11" s="64" t="s">
        <v>181</v>
      </c>
      <c r="B11" s="1" t="s">
        <v>182</v>
      </c>
      <c r="C11" s="1">
        <v>1994</v>
      </c>
      <c r="D11" s="1" t="s">
        <v>183</v>
      </c>
      <c r="E11" s="1" t="s">
        <v>258</v>
      </c>
      <c r="F11" s="1" t="s">
        <v>261</v>
      </c>
      <c r="G11" s="1">
        <v>1992</v>
      </c>
      <c r="H11" s="1">
        <v>4641000</v>
      </c>
      <c r="I11" s="1" t="s">
        <v>194</v>
      </c>
      <c r="J11" s="1" t="s">
        <v>480</v>
      </c>
      <c r="K11" s="56">
        <f t="shared" si="0"/>
        <v>0.48</v>
      </c>
    </row>
    <row r="12" spans="1:13" x14ac:dyDescent="0.3">
      <c r="A12" s="64" t="s">
        <v>181</v>
      </c>
      <c r="B12" s="1" t="s">
        <v>182</v>
      </c>
      <c r="C12" s="1">
        <v>1994</v>
      </c>
      <c r="D12" s="1" t="s">
        <v>183</v>
      </c>
      <c r="E12" s="1" t="s">
        <v>264</v>
      </c>
      <c r="F12" s="1" t="s">
        <v>261</v>
      </c>
      <c r="G12" s="1">
        <v>1992</v>
      </c>
      <c r="H12" s="1">
        <v>3314000</v>
      </c>
      <c r="I12" s="1" t="s">
        <v>194</v>
      </c>
      <c r="J12" s="1" t="s">
        <v>480</v>
      </c>
      <c r="K12" s="56">
        <f t="shared" si="0"/>
        <v>0.34</v>
      </c>
    </row>
    <row r="13" spans="1:13" x14ac:dyDescent="0.3">
      <c r="A13" s="64" t="s">
        <v>181</v>
      </c>
      <c r="B13" s="1" t="s">
        <v>182</v>
      </c>
      <c r="C13" s="1">
        <v>1994</v>
      </c>
      <c r="D13" s="1" t="s">
        <v>183</v>
      </c>
      <c r="E13" s="1" t="s">
        <v>259</v>
      </c>
      <c r="F13" s="1" t="s">
        <v>261</v>
      </c>
      <c r="G13" s="1">
        <v>1992</v>
      </c>
      <c r="H13" s="1">
        <v>3312000</v>
      </c>
      <c r="I13" s="1" t="s">
        <v>194</v>
      </c>
      <c r="J13" s="1" t="s">
        <v>480</v>
      </c>
      <c r="K13" s="56">
        <f t="shared" si="0"/>
        <v>0.34</v>
      </c>
    </row>
    <row r="14" spans="1:13" x14ac:dyDescent="0.3">
      <c r="A14" s="64" t="s">
        <v>181</v>
      </c>
      <c r="B14" s="1" t="s">
        <v>182</v>
      </c>
      <c r="C14" s="1">
        <v>1994</v>
      </c>
      <c r="D14" s="1" t="s">
        <v>183</v>
      </c>
      <c r="E14" s="1" t="s">
        <v>260</v>
      </c>
      <c r="F14" s="1" t="s">
        <v>261</v>
      </c>
      <c r="G14" s="1">
        <v>1992</v>
      </c>
      <c r="H14" s="1">
        <v>2631000</v>
      </c>
      <c r="I14" s="1" t="s">
        <v>194</v>
      </c>
      <c r="J14" s="1" t="s">
        <v>480</v>
      </c>
      <c r="K14" s="56">
        <f t="shared" si="0"/>
        <v>0.27</v>
      </c>
    </row>
    <row r="15" spans="1:13" x14ac:dyDescent="0.3">
      <c r="A15" s="64" t="s">
        <v>181</v>
      </c>
      <c r="B15" s="1" t="s">
        <v>182</v>
      </c>
      <c r="C15" s="1">
        <v>1994</v>
      </c>
      <c r="D15" s="1" t="s">
        <v>183</v>
      </c>
      <c r="E15" s="1" t="s">
        <v>243</v>
      </c>
      <c r="F15" s="1" t="s">
        <v>243</v>
      </c>
      <c r="G15" s="1">
        <v>1992</v>
      </c>
      <c r="H15" s="1">
        <f>SUM(H2:H14)</f>
        <v>250265000</v>
      </c>
      <c r="I15" s="1" t="s">
        <v>194</v>
      </c>
      <c r="J15" s="1" t="s">
        <v>480</v>
      </c>
      <c r="K15" s="56">
        <f t="shared" si="0"/>
        <v>25.66</v>
      </c>
    </row>
    <row r="16" spans="1:13" x14ac:dyDescent="0.3">
      <c r="A16" s="64" t="s">
        <v>181</v>
      </c>
      <c r="B16" s="1" t="s">
        <v>182</v>
      </c>
      <c r="C16" s="1">
        <v>2003</v>
      </c>
      <c r="D16" s="1" t="s">
        <v>183</v>
      </c>
      <c r="E16" s="1" t="s">
        <v>250</v>
      </c>
      <c r="F16" s="1" t="s">
        <v>261</v>
      </c>
      <c r="G16" s="1">
        <v>2002</v>
      </c>
      <c r="H16" s="1">
        <v>24082000</v>
      </c>
      <c r="I16" s="1" t="s">
        <v>194</v>
      </c>
      <c r="J16" s="1" t="s">
        <v>480</v>
      </c>
      <c r="K16" s="56">
        <f>ROUND(H16/(988.51*1000000)*100,2)</f>
        <v>2.44</v>
      </c>
      <c r="M16" s="1" t="s">
        <v>543</v>
      </c>
    </row>
    <row r="17" spans="1:13" x14ac:dyDescent="0.3">
      <c r="A17" s="64" t="s">
        <v>181</v>
      </c>
      <c r="B17" s="1" t="s">
        <v>182</v>
      </c>
      <c r="C17" s="1">
        <v>2003</v>
      </c>
      <c r="D17" s="1" t="s">
        <v>183</v>
      </c>
      <c r="E17" s="1" t="s">
        <v>265</v>
      </c>
      <c r="F17" s="1" t="s">
        <v>261</v>
      </c>
      <c r="G17" s="1">
        <v>2002</v>
      </c>
      <c r="H17" s="1">
        <f>20042000+ROUND(20042000/11,0)</f>
        <v>21864000</v>
      </c>
      <c r="I17" s="1" t="s">
        <v>194</v>
      </c>
      <c r="J17" s="1" t="s">
        <v>480</v>
      </c>
      <c r="K17" s="56">
        <f t="shared" ref="K17:K26" si="1">ROUND(H17/(988.51*1000000)*100,2)</f>
        <v>2.21</v>
      </c>
      <c r="M17" s="1" t="s">
        <v>544</v>
      </c>
    </row>
    <row r="18" spans="1:13" x14ac:dyDescent="0.3">
      <c r="A18" s="64" t="s">
        <v>181</v>
      </c>
      <c r="B18" s="1" t="s">
        <v>182</v>
      </c>
      <c r="C18" s="1">
        <v>2003</v>
      </c>
      <c r="D18" s="1" t="s">
        <v>183</v>
      </c>
      <c r="E18" s="1" t="s">
        <v>262</v>
      </c>
      <c r="F18" s="1" t="s">
        <v>261</v>
      </c>
      <c r="G18" s="1">
        <v>2002</v>
      </c>
      <c r="H18" s="1">
        <f>13574000+ROUND(13574000/11,0)</f>
        <v>14808000</v>
      </c>
      <c r="I18" s="1" t="s">
        <v>194</v>
      </c>
      <c r="J18" s="1" t="s">
        <v>480</v>
      </c>
      <c r="K18" s="56">
        <f t="shared" si="1"/>
        <v>1.5</v>
      </c>
      <c r="M18" s="1" t="s">
        <v>544</v>
      </c>
    </row>
    <row r="19" spans="1:13" x14ac:dyDescent="0.3">
      <c r="A19" s="64" t="s">
        <v>181</v>
      </c>
      <c r="B19" s="1" t="s">
        <v>182</v>
      </c>
      <c r="C19" s="1">
        <v>2003</v>
      </c>
      <c r="D19" s="1" t="s">
        <v>183</v>
      </c>
      <c r="E19" s="1" t="s">
        <v>266</v>
      </c>
      <c r="F19" s="1" t="s">
        <v>261</v>
      </c>
      <c r="G19" s="1">
        <v>2002</v>
      </c>
      <c r="H19" s="1">
        <f>12438000+ROUND(12438000/11,0)</f>
        <v>13568727</v>
      </c>
      <c r="I19" s="1" t="s">
        <v>194</v>
      </c>
      <c r="J19" s="1" t="s">
        <v>480</v>
      </c>
      <c r="K19" s="56">
        <f t="shared" si="1"/>
        <v>1.37</v>
      </c>
      <c r="M19" s="1" t="s">
        <v>544</v>
      </c>
    </row>
    <row r="20" spans="1:13" x14ac:dyDescent="0.3">
      <c r="A20" s="64" t="s">
        <v>181</v>
      </c>
      <c r="B20" s="1" t="s">
        <v>182</v>
      </c>
      <c r="C20" s="1">
        <v>2003</v>
      </c>
      <c r="D20" s="1" t="s">
        <v>183</v>
      </c>
      <c r="E20" s="1" t="s">
        <v>251</v>
      </c>
      <c r="F20" s="1" t="s">
        <v>261</v>
      </c>
      <c r="G20" s="1">
        <v>2002</v>
      </c>
      <c r="H20" s="1">
        <f>11312000+ROUND(11312000/11,0)</f>
        <v>12340364</v>
      </c>
      <c r="I20" s="1" t="s">
        <v>194</v>
      </c>
      <c r="J20" s="1" t="s">
        <v>480</v>
      </c>
      <c r="K20" s="56">
        <f t="shared" si="1"/>
        <v>1.25</v>
      </c>
      <c r="M20" s="1" t="s">
        <v>544</v>
      </c>
    </row>
    <row r="21" spans="1:13" x14ac:dyDescent="0.3">
      <c r="A21" s="64" t="s">
        <v>181</v>
      </c>
      <c r="B21" s="1" t="s">
        <v>182</v>
      </c>
      <c r="C21" s="1">
        <v>2003</v>
      </c>
      <c r="D21" s="1" t="s">
        <v>183</v>
      </c>
      <c r="E21" s="1" t="s">
        <v>267</v>
      </c>
      <c r="F21" s="1" t="s">
        <v>261</v>
      </c>
      <c r="G21" s="1">
        <v>2002</v>
      </c>
      <c r="H21" s="1">
        <f>9543000+ROUND(9543000/11,0)</f>
        <v>10410545</v>
      </c>
      <c r="I21" s="1" t="s">
        <v>194</v>
      </c>
      <c r="J21" s="1" t="s">
        <v>480</v>
      </c>
      <c r="K21" s="56">
        <f t="shared" si="1"/>
        <v>1.05</v>
      </c>
      <c r="M21" s="1" t="s">
        <v>544</v>
      </c>
    </row>
    <row r="22" spans="1:13" x14ac:dyDescent="0.3">
      <c r="A22" s="64" t="s">
        <v>181</v>
      </c>
      <c r="B22" s="1" t="s">
        <v>182</v>
      </c>
      <c r="C22" s="1">
        <v>2003</v>
      </c>
      <c r="D22" s="1" t="s">
        <v>183</v>
      </c>
      <c r="E22" s="1" t="s">
        <v>268</v>
      </c>
      <c r="F22" s="1" t="s">
        <v>261</v>
      </c>
      <c r="G22" s="1">
        <v>2002</v>
      </c>
      <c r="H22" s="1">
        <f>8792000+ROUND(8792000/11,0)</f>
        <v>9591273</v>
      </c>
      <c r="I22" s="1" t="s">
        <v>194</v>
      </c>
      <c r="J22" s="1" t="s">
        <v>480</v>
      </c>
      <c r="K22" s="56">
        <f t="shared" si="1"/>
        <v>0.97</v>
      </c>
      <c r="M22" s="1" t="s">
        <v>544</v>
      </c>
    </row>
    <row r="23" spans="1:13" x14ac:dyDescent="0.3">
      <c r="A23" s="64" t="s">
        <v>181</v>
      </c>
      <c r="B23" s="1" t="s">
        <v>182</v>
      </c>
      <c r="C23" s="1">
        <v>2003</v>
      </c>
      <c r="D23" s="1" t="s">
        <v>183</v>
      </c>
      <c r="E23" s="1" t="s">
        <v>269</v>
      </c>
      <c r="F23" s="1" t="s">
        <v>263</v>
      </c>
      <c r="G23" s="1">
        <v>2002</v>
      </c>
      <c r="H23" s="1">
        <f>8035000+ROUND(8035000/11,0)</f>
        <v>8765455</v>
      </c>
      <c r="I23" s="1" t="s">
        <v>194</v>
      </c>
      <c r="J23" s="1" t="s">
        <v>480</v>
      </c>
      <c r="K23" s="56">
        <f t="shared" si="1"/>
        <v>0.89</v>
      </c>
      <c r="M23" s="1" t="s">
        <v>544</v>
      </c>
    </row>
    <row r="24" spans="1:13" x14ac:dyDescent="0.3">
      <c r="A24" s="64" t="s">
        <v>181</v>
      </c>
      <c r="B24" s="1" t="s">
        <v>182</v>
      </c>
      <c r="C24" s="1">
        <v>2003</v>
      </c>
      <c r="D24" s="1" t="s">
        <v>183</v>
      </c>
      <c r="E24" s="1" t="s">
        <v>270</v>
      </c>
      <c r="F24" s="1" t="s">
        <v>261</v>
      </c>
      <c r="G24" s="1">
        <v>2002</v>
      </c>
      <c r="H24" s="1">
        <f>5630000+ROUND(5630000/11,0)</f>
        <v>6141818</v>
      </c>
      <c r="I24" s="1" t="s">
        <v>194</v>
      </c>
      <c r="J24" s="1" t="s">
        <v>480</v>
      </c>
      <c r="K24" s="56">
        <f t="shared" si="1"/>
        <v>0.62</v>
      </c>
      <c r="M24" s="1" t="s">
        <v>544</v>
      </c>
    </row>
    <row r="25" spans="1:13" x14ac:dyDescent="0.3">
      <c r="A25" s="64" t="s">
        <v>181</v>
      </c>
      <c r="B25" s="1" t="s">
        <v>182</v>
      </c>
      <c r="C25" s="1">
        <v>2003</v>
      </c>
      <c r="D25" s="1" t="s">
        <v>183</v>
      </c>
      <c r="E25" s="1" t="s">
        <v>252</v>
      </c>
      <c r="F25" s="1" t="s">
        <v>261</v>
      </c>
      <c r="G25" s="1">
        <v>2002</v>
      </c>
      <c r="H25" s="23">
        <f>789000+ROUND(789000/11,0)</f>
        <v>860727</v>
      </c>
      <c r="I25" s="1" t="s">
        <v>194</v>
      </c>
      <c r="J25" s="1" t="s">
        <v>480</v>
      </c>
      <c r="K25" s="56">
        <f t="shared" si="1"/>
        <v>0.09</v>
      </c>
      <c r="M25" s="1" t="s">
        <v>544</v>
      </c>
    </row>
    <row r="26" spans="1:13" x14ac:dyDescent="0.3">
      <c r="A26" s="64" t="s">
        <v>181</v>
      </c>
      <c r="B26" s="1" t="s">
        <v>182</v>
      </c>
      <c r="C26" s="1">
        <v>2003</v>
      </c>
      <c r="D26" s="1" t="s">
        <v>183</v>
      </c>
      <c r="E26" s="1" t="s">
        <v>243</v>
      </c>
      <c r="F26" s="1" t="s">
        <v>243</v>
      </c>
      <c r="G26" s="1">
        <v>2002</v>
      </c>
      <c r="H26" s="23">
        <f>SUM(H16:H25)</f>
        <v>122432909</v>
      </c>
      <c r="I26" s="1" t="s">
        <v>194</v>
      </c>
      <c r="J26" s="1" t="s">
        <v>480</v>
      </c>
      <c r="K26" s="56">
        <f t="shared" si="1"/>
        <v>12.39</v>
      </c>
      <c r="M26" s="1" t="s">
        <v>544</v>
      </c>
    </row>
    <row r="27" spans="1:13" x14ac:dyDescent="0.3">
      <c r="A27" s="64" t="s">
        <v>181</v>
      </c>
      <c r="B27" s="1" t="s">
        <v>182</v>
      </c>
      <c r="C27" s="1">
        <v>2010</v>
      </c>
      <c r="D27" s="1" t="s">
        <v>183</v>
      </c>
      <c r="E27" s="66" t="s">
        <v>272</v>
      </c>
      <c r="F27" s="1" t="s">
        <v>261</v>
      </c>
      <c r="G27" s="1">
        <v>2009</v>
      </c>
      <c r="H27" s="23">
        <v>49674000</v>
      </c>
      <c r="I27" s="1" t="s">
        <v>194</v>
      </c>
      <c r="J27" s="1" t="s">
        <v>480</v>
      </c>
      <c r="K27" s="56">
        <f>ROUND(H27/(1021.04*1000000)*100,2)</f>
        <v>4.87</v>
      </c>
    </row>
    <row r="28" spans="1:13" x14ac:dyDescent="0.3">
      <c r="A28" s="64" t="s">
        <v>181</v>
      </c>
      <c r="B28" s="1" t="s">
        <v>182</v>
      </c>
      <c r="C28" s="1">
        <v>2010</v>
      </c>
      <c r="D28" s="1" t="s">
        <v>183</v>
      </c>
      <c r="E28" s="1" t="s">
        <v>254</v>
      </c>
      <c r="F28" s="1" t="s">
        <v>261</v>
      </c>
      <c r="G28" s="1">
        <v>2009</v>
      </c>
      <c r="H28" s="23">
        <v>26053000</v>
      </c>
      <c r="I28" s="1" t="s">
        <v>194</v>
      </c>
      <c r="J28" s="1" t="s">
        <v>480</v>
      </c>
      <c r="K28" s="56">
        <f t="shared" ref="K28:K37" si="2">ROUND(H28/(1021.04*1000000)*100,2)</f>
        <v>2.5499999999999998</v>
      </c>
    </row>
    <row r="29" spans="1:13" x14ac:dyDescent="0.3">
      <c r="A29" s="64" t="s">
        <v>181</v>
      </c>
      <c r="B29" s="1" t="s">
        <v>182</v>
      </c>
      <c r="C29" s="1">
        <v>2010</v>
      </c>
      <c r="D29" s="1" t="s">
        <v>183</v>
      </c>
      <c r="E29" s="1" t="s">
        <v>251</v>
      </c>
      <c r="F29" s="1" t="s">
        <v>261</v>
      </c>
      <c r="G29" s="1">
        <v>2009</v>
      </c>
      <c r="H29" s="23">
        <v>25554000</v>
      </c>
      <c r="I29" s="1" t="s">
        <v>194</v>
      </c>
      <c r="J29" s="1" t="s">
        <v>480</v>
      </c>
      <c r="K29" s="56">
        <f t="shared" si="2"/>
        <v>2.5</v>
      </c>
    </row>
    <row r="30" spans="1:13" x14ac:dyDescent="0.3">
      <c r="A30" s="64" t="s">
        <v>181</v>
      </c>
      <c r="B30" s="1" t="s">
        <v>182</v>
      </c>
      <c r="C30" s="1">
        <v>2010</v>
      </c>
      <c r="D30" s="1" t="s">
        <v>183</v>
      </c>
      <c r="E30" s="1" t="s">
        <v>273</v>
      </c>
      <c r="F30" s="1" t="s">
        <v>261</v>
      </c>
      <c r="G30" s="1">
        <v>2009</v>
      </c>
      <c r="H30" s="23">
        <v>21240000</v>
      </c>
      <c r="I30" s="1" t="s">
        <v>194</v>
      </c>
      <c r="J30" s="1" t="s">
        <v>480</v>
      </c>
      <c r="K30" s="56">
        <f t="shared" si="2"/>
        <v>2.08</v>
      </c>
    </row>
    <row r="31" spans="1:13" x14ac:dyDescent="0.3">
      <c r="A31" s="64" t="s">
        <v>181</v>
      </c>
      <c r="B31" s="1" t="s">
        <v>182</v>
      </c>
      <c r="C31" s="1">
        <v>2010</v>
      </c>
      <c r="D31" s="1" t="s">
        <v>183</v>
      </c>
      <c r="E31" s="1" t="s">
        <v>265</v>
      </c>
      <c r="F31" s="1" t="s">
        <v>261</v>
      </c>
      <c r="G31" s="1">
        <v>2009</v>
      </c>
      <c r="H31" s="23">
        <v>20371000</v>
      </c>
      <c r="I31" s="1" t="s">
        <v>194</v>
      </c>
      <c r="J31" s="1" t="s">
        <v>480</v>
      </c>
      <c r="K31" s="56">
        <f t="shared" si="2"/>
        <v>2</v>
      </c>
    </row>
    <row r="32" spans="1:13" x14ac:dyDescent="0.3">
      <c r="A32" s="64" t="s">
        <v>181</v>
      </c>
      <c r="B32" s="1" t="s">
        <v>182</v>
      </c>
      <c r="C32" s="1">
        <v>2010</v>
      </c>
      <c r="D32" s="1" t="s">
        <v>183</v>
      </c>
      <c r="E32" s="1" t="s">
        <v>274</v>
      </c>
      <c r="F32" s="1" t="s">
        <v>261</v>
      </c>
      <c r="G32" s="1">
        <v>2009</v>
      </c>
      <c r="H32" s="23">
        <v>9376000</v>
      </c>
      <c r="I32" s="1" t="s">
        <v>194</v>
      </c>
      <c r="J32" s="1" t="s">
        <v>480</v>
      </c>
      <c r="K32" s="56">
        <f t="shared" si="2"/>
        <v>0.92</v>
      </c>
    </row>
    <row r="33" spans="1:12" x14ac:dyDescent="0.3">
      <c r="A33" s="64" t="s">
        <v>181</v>
      </c>
      <c r="B33" s="1" t="s">
        <v>182</v>
      </c>
      <c r="C33" s="1">
        <v>2010</v>
      </c>
      <c r="D33" s="1" t="s">
        <v>183</v>
      </c>
      <c r="E33" s="1" t="s">
        <v>278</v>
      </c>
      <c r="F33" s="1" t="s">
        <v>263</v>
      </c>
      <c r="G33" s="1">
        <v>2009</v>
      </c>
      <c r="H33" s="23">
        <v>7721000</v>
      </c>
      <c r="I33" s="1" t="s">
        <v>194</v>
      </c>
      <c r="J33" s="1" t="s">
        <v>480</v>
      </c>
      <c r="K33" s="56">
        <f t="shared" si="2"/>
        <v>0.76</v>
      </c>
    </row>
    <row r="34" spans="1:12" x14ac:dyDescent="0.3">
      <c r="A34" s="64" t="s">
        <v>181</v>
      </c>
      <c r="B34" s="1" t="s">
        <v>182</v>
      </c>
      <c r="C34" s="1">
        <v>2010</v>
      </c>
      <c r="D34" s="1" t="s">
        <v>183</v>
      </c>
      <c r="E34" s="1" t="s">
        <v>275</v>
      </c>
      <c r="F34" s="1" t="s">
        <v>261</v>
      </c>
      <c r="G34" s="1">
        <v>2009</v>
      </c>
      <c r="H34" s="23">
        <v>6865000</v>
      </c>
      <c r="I34" s="1" t="s">
        <v>194</v>
      </c>
      <c r="J34" s="1" t="s">
        <v>480</v>
      </c>
      <c r="K34" s="56">
        <f t="shared" si="2"/>
        <v>0.67</v>
      </c>
    </row>
    <row r="35" spans="1:12" x14ac:dyDescent="0.3">
      <c r="A35" s="64" t="s">
        <v>181</v>
      </c>
      <c r="B35" s="1" t="s">
        <v>182</v>
      </c>
      <c r="C35" s="1">
        <v>2010</v>
      </c>
      <c r="D35" s="1" t="s">
        <v>183</v>
      </c>
      <c r="E35" s="1" t="s">
        <v>276</v>
      </c>
      <c r="F35" s="1" t="s">
        <v>277</v>
      </c>
      <c r="G35" s="1">
        <v>2009</v>
      </c>
      <c r="H35" s="23">
        <v>4352000</v>
      </c>
      <c r="I35" s="1" t="s">
        <v>194</v>
      </c>
      <c r="J35" s="1" t="s">
        <v>480</v>
      </c>
      <c r="K35" s="56">
        <f t="shared" si="2"/>
        <v>0.43</v>
      </c>
    </row>
    <row r="36" spans="1:12" x14ac:dyDescent="0.3">
      <c r="A36" s="64" t="s">
        <v>181</v>
      </c>
      <c r="B36" s="1" t="s">
        <v>182</v>
      </c>
      <c r="C36" s="1">
        <v>2010</v>
      </c>
      <c r="D36" s="1" t="s">
        <v>183</v>
      </c>
      <c r="E36" s="1" t="s">
        <v>271</v>
      </c>
      <c r="F36" s="1" t="s">
        <v>261</v>
      </c>
      <c r="G36" s="1">
        <v>2009</v>
      </c>
      <c r="H36" s="23">
        <v>4258000</v>
      </c>
      <c r="I36" s="1" t="s">
        <v>194</v>
      </c>
      <c r="J36" s="1" t="s">
        <v>480</v>
      </c>
      <c r="K36" s="56">
        <f t="shared" si="2"/>
        <v>0.42</v>
      </c>
    </row>
    <row r="37" spans="1:12" x14ac:dyDescent="0.3">
      <c r="A37" s="64" t="s">
        <v>181</v>
      </c>
      <c r="B37" s="1" t="s">
        <v>182</v>
      </c>
      <c r="C37" s="1">
        <v>2010</v>
      </c>
      <c r="D37" s="1" t="s">
        <v>183</v>
      </c>
      <c r="E37" s="1" t="s">
        <v>243</v>
      </c>
      <c r="F37" s="1" t="s">
        <v>243</v>
      </c>
      <c r="G37" s="1">
        <v>2009</v>
      </c>
      <c r="H37" s="23">
        <f>SUM(H27:H36)</f>
        <v>175464000</v>
      </c>
      <c r="I37" s="1" t="s">
        <v>194</v>
      </c>
      <c r="J37" s="1" t="s">
        <v>480</v>
      </c>
      <c r="K37" s="56">
        <f t="shared" si="2"/>
        <v>17.18</v>
      </c>
      <c r="L37" s="1">
        <v>14.5</v>
      </c>
    </row>
    <row r="38" spans="1:12" x14ac:dyDescent="0.3">
      <c r="A38" s="64" t="s">
        <v>181</v>
      </c>
      <c r="B38" s="1" t="s">
        <v>182</v>
      </c>
      <c r="C38" s="1">
        <v>2010</v>
      </c>
      <c r="D38" s="1" t="s">
        <v>183</v>
      </c>
      <c r="E38" s="1" t="s">
        <v>243</v>
      </c>
      <c r="F38" s="1" t="s">
        <v>243</v>
      </c>
      <c r="G38" s="1">
        <v>2008</v>
      </c>
      <c r="H38" s="23" t="s">
        <v>194</v>
      </c>
      <c r="I38" s="1" t="s">
        <v>194</v>
      </c>
      <c r="J38" s="1" t="s">
        <v>194</v>
      </c>
      <c r="K38" s="56" t="s">
        <v>194</v>
      </c>
      <c r="L38" s="1">
        <v>15.8</v>
      </c>
    </row>
    <row r="39" spans="1:12" x14ac:dyDescent="0.3">
      <c r="A39" s="64" t="s">
        <v>181</v>
      </c>
      <c r="B39" s="1" t="s">
        <v>182</v>
      </c>
      <c r="C39" s="1">
        <v>2010</v>
      </c>
      <c r="D39" s="1" t="s">
        <v>183</v>
      </c>
      <c r="E39" s="1" t="s">
        <v>243</v>
      </c>
      <c r="F39" s="1" t="s">
        <v>243</v>
      </c>
      <c r="G39" s="1">
        <v>2007</v>
      </c>
      <c r="H39" s="23" t="s">
        <v>194</v>
      </c>
      <c r="I39" s="1" t="s">
        <v>194</v>
      </c>
      <c r="J39" s="1" t="s">
        <v>194</v>
      </c>
      <c r="K39" s="56" t="s">
        <v>194</v>
      </c>
      <c r="L39" s="1">
        <v>16.8</v>
      </c>
    </row>
    <row r="40" spans="1:12" x14ac:dyDescent="0.3">
      <c r="A40" s="64" t="s">
        <v>181</v>
      </c>
      <c r="B40" s="1" t="s">
        <v>182</v>
      </c>
      <c r="C40" s="1">
        <v>2017</v>
      </c>
      <c r="D40" s="1" t="s">
        <v>183</v>
      </c>
      <c r="E40" s="67" t="s">
        <v>279</v>
      </c>
      <c r="F40" s="1" t="s">
        <v>261</v>
      </c>
      <c r="G40" s="1">
        <v>2016</v>
      </c>
      <c r="H40" s="1">
        <v>22941000</v>
      </c>
      <c r="I40" s="1" t="s">
        <v>194</v>
      </c>
      <c r="J40" s="1" t="s">
        <v>480</v>
      </c>
      <c r="K40" s="56">
        <f>ROUND(H40/(1012.33*1000000)*100,2)</f>
        <v>2.27</v>
      </c>
    </row>
    <row r="41" spans="1:12" x14ac:dyDescent="0.3">
      <c r="A41" s="64" t="s">
        <v>181</v>
      </c>
      <c r="B41" s="1" t="s">
        <v>182</v>
      </c>
      <c r="C41" s="1">
        <v>2017</v>
      </c>
      <c r="D41" s="1" t="s">
        <v>183</v>
      </c>
      <c r="E41" s="68" t="s">
        <v>280</v>
      </c>
      <c r="F41" s="1" t="s">
        <v>261</v>
      </c>
      <c r="G41" s="1">
        <v>2016</v>
      </c>
      <c r="H41" s="1">
        <v>22105000</v>
      </c>
      <c r="I41" s="1" t="s">
        <v>194</v>
      </c>
      <c r="J41" s="1" t="s">
        <v>480</v>
      </c>
      <c r="K41" s="56">
        <f t="shared" ref="K41:K50" si="3">ROUND(H41/(1012.33*1000000)*100,2)</f>
        <v>2.1800000000000002</v>
      </c>
    </row>
    <row r="42" spans="1:12" x14ac:dyDescent="0.3">
      <c r="A42" s="64" t="s">
        <v>181</v>
      </c>
      <c r="B42" s="1" t="s">
        <v>182</v>
      </c>
      <c r="C42" s="1">
        <v>2017</v>
      </c>
      <c r="D42" s="1" t="s">
        <v>183</v>
      </c>
      <c r="E42" s="68" t="s">
        <v>281</v>
      </c>
      <c r="F42" s="1" t="s">
        <v>261</v>
      </c>
      <c r="G42" s="1">
        <v>2016</v>
      </c>
      <c r="H42" s="1">
        <v>21236000</v>
      </c>
      <c r="I42" s="1" t="s">
        <v>194</v>
      </c>
      <c r="J42" s="1" t="s">
        <v>480</v>
      </c>
      <c r="K42" s="56">
        <f t="shared" si="3"/>
        <v>2.1</v>
      </c>
    </row>
    <row r="43" spans="1:12" x14ac:dyDescent="0.3">
      <c r="A43" s="64" t="s">
        <v>181</v>
      </c>
      <c r="B43" s="1" t="s">
        <v>182</v>
      </c>
      <c r="C43" s="1">
        <v>2017</v>
      </c>
      <c r="D43" s="1" t="s">
        <v>183</v>
      </c>
      <c r="E43" s="68" t="s">
        <v>282</v>
      </c>
      <c r="F43" s="1" t="s">
        <v>261</v>
      </c>
      <c r="G43" s="1">
        <v>2016</v>
      </c>
      <c r="H43" s="1">
        <v>12773000</v>
      </c>
      <c r="I43" s="1" t="s">
        <v>194</v>
      </c>
      <c r="J43" s="1" t="s">
        <v>480</v>
      </c>
      <c r="K43" s="56">
        <f t="shared" si="3"/>
        <v>1.26</v>
      </c>
    </row>
    <row r="44" spans="1:12" x14ac:dyDescent="0.3">
      <c r="A44" s="64" t="s">
        <v>181</v>
      </c>
      <c r="B44" s="1" t="s">
        <v>182</v>
      </c>
      <c r="C44" s="1">
        <v>2017</v>
      </c>
      <c r="D44" s="1" t="s">
        <v>183</v>
      </c>
      <c r="E44" s="68" t="s">
        <v>256</v>
      </c>
      <c r="F44" s="1" t="s">
        <v>263</v>
      </c>
      <c r="G44" s="1">
        <v>2016</v>
      </c>
      <c r="H44" s="1">
        <v>11329000</v>
      </c>
      <c r="I44" s="1" t="s">
        <v>194</v>
      </c>
      <c r="J44" s="1" t="s">
        <v>480</v>
      </c>
      <c r="K44" s="56">
        <f t="shared" si="3"/>
        <v>1.1200000000000001</v>
      </c>
    </row>
    <row r="45" spans="1:12" x14ac:dyDescent="0.3">
      <c r="A45" s="64" t="s">
        <v>181</v>
      </c>
      <c r="B45" s="1" t="s">
        <v>182</v>
      </c>
      <c r="C45" s="1">
        <v>2017</v>
      </c>
      <c r="D45" s="1" t="s">
        <v>183</v>
      </c>
      <c r="E45" s="68" t="s">
        <v>283</v>
      </c>
      <c r="F45" s="1" t="s">
        <v>286</v>
      </c>
      <c r="G45" s="1">
        <v>2016</v>
      </c>
      <c r="H45" s="1">
        <v>11129000</v>
      </c>
      <c r="I45" s="1" t="s">
        <v>194</v>
      </c>
      <c r="J45" s="1" t="s">
        <v>480</v>
      </c>
      <c r="K45" s="56">
        <f t="shared" si="3"/>
        <v>1.1000000000000001</v>
      </c>
    </row>
    <row r="46" spans="1:12" x14ac:dyDescent="0.3">
      <c r="A46" s="64" t="s">
        <v>181</v>
      </c>
      <c r="B46" s="1" t="s">
        <v>182</v>
      </c>
      <c r="C46" s="1">
        <v>2017</v>
      </c>
      <c r="D46" s="1" t="s">
        <v>183</v>
      </c>
      <c r="E46" s="68" t="s">
        <v>284</v>
      </c>
      <c r="F46" s="1" t="s">
        <v>261</v>
      </c>
      <c r="G46" s="1">
        <v>2016</v>
      </c>
      <c r="H46" s="1">
        <v>8113000</v>
      </c>
      <c r="I46" s="1" t="s">
        <v>194</v>
      </c>
      <c r="J46" s="1" t="s">
        <v>480</v>
      </c>
      <c r="K46" s="56">
        <f t="shared" si="3"/>
        <v>0.8</v>
      </c>
    </row>
    <row r="47" spans="1:12" x14ac:dyDescent="0.3">
      <c r="A47" s="64" t="s">
        <v>181</v>
      </c>
      <c r="B47" s="1" t="s">
        <v>182</v>
      </c>
      <c r="C47" s="1">
        <v>2017</v>
      </c>
      <c r="D47" s="1" t="s">
        <v>183</v>
      </c>
      <c r="E47" s="68" t="s">
        <v>285</v>
      </c>
      <c r="F47" s="1" t="s">
        <v>261</v>
      </c>
      <c r="G47" s="1">
        <v>2016</v>
      </c>
      <c r="H47" s="1">
        <v>6008000</v>
      </c>
      <c r="I47" s="1" t="s">
        <v>194</v>
      </c>
      <c r="J47" s="1" t="s">
        <v>480</v>
      </c>
      <c r="K47" s="56">
        <f t="shared" si="3"/>
        <v>0.59</v>
      </c>
    </row>
    <row r="48" spans="1:12" x14ac:dyDescent="0.3">
      <c r="A48" s="64" t="s">
        <v>181</v>
      </c>
      <c r="B48" s="1" t="s">
        <v>182</v>
      </c>
      <c r="C48" s="1">
        <v>2017</v>
      </c>
      <c r="D48" s="1" t="s">
        <v>183</v>
      </c>
      <c r="E48" s="68" t="s">
        <v>275</v>
      </c>
      <c r="F48" s="1" t="s">
        <v>261</v>
      </c>
      <c r="G48" s="1">
        <v>2016</v>
      </c>
      <c r="H48" s="1">
        <v>5966000</v>
      </c>
      <c r="I48" s="1" t="s">
        <v>194</v>
      </c>
      <c r="J48" s="1" t="s">
        <v>480</v>
      </c>
      <c r="K48" s="56">
        <f t="shared" si="3"/>
        <v>0.59</v>
      </c>
    </row>
    <row r="49" spans="1:12" x14ac:dyDescent="0.3">
      <c r="A49" s="64" t="s">
        <v>181</v>
      </c>
      <c r="B49" s="1" t="s">
        <v>182</v>
      </c>
      <c r="C49" s="1">
        <v>2017</v>
      </c>
      <c r="D49" s="1" t="s">
        <v>183</v>
      </c>
      <c r="E49" s="69" t="s">
        <v>271</v>
      </c>
      <c r="F49" s="1" t="s">
        <v>261</v>
      </c>
      <c r="G49" s="1">
        <v>2016</v>
      </c>
      <c r="H49" s="1">
        <v>3867000</v>
      </c>
      <c r="I49" s="1" t="s">
        <v>194</v>
      </c>
      <c r="J49" s="1" t="s">
        <v>480</v>
      </c>
      <c r="K49" s="56">
        <f t="shared" si="3"/>
        <v>0.38</v>
      </c>
    </row>
    <row r="50" spans="1:12" x14ac:dyDescent="0.3">
      <c r="A50" s="64" t="s">
        <v>181</v>
      </c>
      <c r="B50" s="1" t="s">
        <v>182</v>
      </c>
      <c r="C50" s="1">
        <v>2017</v>
      </c>
      <c r="D50" s="1" t="s">
        <v>183</v>
      </c>
      <c r="E50" s="69" t="s">
        <v>243</v>
      </c>
      <c r="F50" s="1" t="s">
        <v>243</v>
      </c>
      <c r="G50" s="1">
        <v>2016</v>
      </c>
      <c r="H50" s="1">
        <f>SUM(H40:H49)</f>
        <v>125467000</v>
      </c>
      <c r="I50" s="1" t="s">
        <v>194</v>
      </c>
      <c r="J50" s="1" t="s">
        <v>480</v>
      </c>
      <c r="K50" s="56">
        <f t="shared" si="3"/>
        <v>12.39</v>
      </c>
      <c r="L50" s="1">
        <v>16.399999999999999</v>
      </c>
    </row>
    <row r="51" spans="1:12" x14ac:dyDescent="0.3">
      <c r="A51" s="64" t="s">
        <v>181</v>
      </c>
      <c r="B51" s="1" t="s">
        <v>182</v>
      </c>
      <c r="C51" s="1">
        <v>2017</v>
      </c>
      <c r="D51" s="1" t="s">
        <v>183</v>
      </c>
      <c r="E51" s="69" t="s">
        <v>243</v>
      </c>
      <c r="F51" s="1" t="s">
        <v>243</v>
      </c>
      <c r="G51" s="1">
        <v>2015</v>
      </c>
      <c r="H51" s="1" t="s">
        <v>194</v>
      </c>
      <c r="I51" s="1" t="s">
        <v>194</v>
      </c>
      <c r="J51" s="1" t="s">
        <v>194</v>
      </c>
      <c r="K51" s="1" t="s">
        <v>194</v>
      </c>
      <c r="L51" s="1">
        <v>19.899999999999999</v>
      </c>
    </row>
    <row r="52" spans="1:12" x14ac:dyDescent="0.3">
      <c r="A52" s="64" t="s">
        <v>181</v>
      </c>
      <c r="B52" s="1" t="s">
        <v>182</v>
      </c>
      <c r="C52" s="1">
        <v>2017</v>
      </c>
      <c r="D52" s="1" t="s">
        <v>183</v>
      </c>
      <c r="E52" s="69" t="s">
        <v>243</v>
      </c>
      <c r="F52" s="1" t="s">
        <v>243</v>
      </c>
      <c r="G52" s="1">
        <v>2014</v>
      </c>
      <c r="H52" s="1" t="s">
        <v>194</v>
      </c>
      <c r="I52" s="1" t="s">
        <v>194</v>
      </c>
      <c r="J52" s="1" t="s">
        <v>194</v>
      </c>
      <c r="K52" s="1" t="s">
        <v>194</v>
      </c>
      <c r="L52" s="1">
        <v>20.2</v>
      </c>
    </row>
    <row r="53" spans="1:12" x14ac:dyDescent="0.3">
      <c r="A53" s="64" t="s">
        <v>181</v>
      </c>
      <c r="B53" s="1" t="s">
        <v>182</v>
      </c>
      <c r="C53" s="1">
        <v>2002</v>
      </c>
      <c r="D53" s="1" t="s">
        <v>381</v>
      </c>
      <c r="E53" s="1" t="s">
        <v>414</v>
      </c>
      <c r="F53" s="1" t="s">
        <v>261</v>
      </c>
      <c r="G53" s="1">
        <v>2000</v>
      </c>
      <c r="H53" s="1" t="s">
        <v>194</v>
      </c>
      <c r="I53" s="1">
        <v>101533</v>
      </c>
      <c r="J53" s="1" t="s">
        <v>596</v>
      </c>
      <c r="K53" s="1" t="s">
        <v>194</v>
      </c>
      <c r="L53" s="1">
        <f>ROUND(I53/1342454*100,2)</f>
        <v>7.56</v>
      </c>
    </row>
    <row r="54" spans="1:12" x14ac:dyDescent="0.3">
      <c r="A54" s="64" t="s">
        <v>181</v>
      </c>
      <c r="B54" s="1" t="s">
        <v>182</v>
      </c>
      <c r="C54" s="1">
        <v>2002</v>
      </c>
      <c r="D54" s="1" t="s">
        <v>381</v>
      </c>
      <c r="E54" s="1" t="s">
        <v>415</v>
      </c>
      <c r="F54" s="1" t="s">
        <v>261</v>
      </c>
      <c r="G54" s="1">
        <v>2000</v>
      </c>
      <c r="H54" s="1" t="s">
        <v>194</v>
      </c>
      <c r="I54" s="1">
        <v>39006</v>
      </c>
      <c r="J54" s="1" t="s">
        <v>596</v>
      </c>
      <c r="K54" s="1" t="s">
        <v>194</v>
      </c>
      <c r="L54" s="1">
        <f t="shared" ref="L54:L63" si="4">ROUND(I54/1342454*100,2)</f>
        <v>2.91</v>
      </c>
    </row>
    <row r="55" spans="1:12" x14ac:dyDescent="0.3">
      <c r="A55" s="64" t="s">
        <v>181</v>
      </c>
      <c r="B55" s="1" t="s">
        <v>182</v>
      </c>
      <c r="C55" s="1">
        <v>2002</v>
      </c>
      <c r="D55" s="1" t="s">
        <v>381</v>
      </c>
      <c r="E55" s="1" t="s">
        <v>416</v>
      </c>
      <c r="F55" s="1" t="s">
        <v>261</v>
      </c>
      <c r="G55" s="1">
        <v>2000</v>
      </c>
      <c r="H55" s="1" t="s">
        <v>194</v>
      </c>
      <c r="I55" s="1">
        <v>37199</v>
      </c>
      <c r="J55" s="1" t="s">
        <v>596</v>
      </c>
      <c r="K55" s="1" t="s">
        <v>194</v>
      </c>
      <c r="L55" s="1">
        <f t="shared" si="4"/>
        <v>2.77</v>
      </c>
    </row>
    <row r="56" spans="1:12" x14ac:dyDescent="0.3">
      <c r="A56" s="64" t="s">
        <v>181</v>
      </c>
      <c r="B56" s="1" t="s">
        <v>182</v>
      </c>
      <c r="C56" s="1">
        <v>2002</v>
      </c>
      <c r="D56" s="1" t="s">
        <v>381</v>
      </c>
      <c r="E56" s="1" t="s">
        <v>417</v>
      </c>
      <c r="F56" s="1" t="s">
        <v>261</v>
      </c>
      <c r="G56" s="1">
        <v>2000</v>
      </c>
      <c r="H56" s="1" t="s">
        <v>194</v>
      </c>
      <c r="I56" s="1">
        <v>28221</v>
      </c>
      <c r="J56" s="1" t="s">
        <v>596</v>
      </c>
      <c r="K56" s="1" t="s">
        <v>194</v>
      </c>
      <c r="L56" s="1">
        <f t="shared" si="4"/>
        <v>2.1</v>
      </c>
    </row>
    <row r="57" spans="1:12" x14ac:dyDescent="0.3">
      <c r="A57" s="64" t="s">
        <v>181</v>
      </c>
      <c r="B57" s="1" t="s">
        <v>182</v>
      </c>
      <c r="C57" s="1">
        <v>2002</v>
      </c>
      <c r="D57" s="1" t="s">
        <v>381</v>
      </c>
      <c r="E57" s="1" t="s">
        <v>274</v>
      </c>
      <c r="F57" s="1" t="s">
        <v>261</v>
      </c>
      <c r="G57" s="1">
        <v>2000</v>
      </c>
      <c r="H57" s="1" t="s">
        <v>194</v>
      </c>
      <c r="I57" s="1">
        <v>18305</v>
      </c>
      <c r="J57" s="1" t="s">
        <v>596</v>
      </c>
      <c r="K57" s="1" t="s">
        <v>194</v>
      </c>
      <c r="L57" s="1">
        <f t="shared" si="4"/>
        <v>1.36</v>
      </c>
    </row>
    <row r="58" spans="1:12" x14ac:dyDescent="0.3">
      <c r="A58" s="64" t="s">
        <v>181</v>
      </c>
      <c r="B58" s="1" t="s">
        <v>182</v>
      </c>
      <c r="C58" s="1">
        <v>2002</v>
      </c>
      <c r="D58" s="1" t="s">
        <v>381</v>
      </c>
      <c r="E58" s="1" t="s">
        <v>256</v>
      </c>
      <c r="F58" s="1" t="s">
        <v>263</v>
      </c>
      <c r="G58" s="1">
        <v>2000</v>
      </c>
      <c r="H58" s="1" t="s">
        <v>194</v>
      </c>
      <c r="I58" s="1">
        <v>16425</v>
      </c>
      <c r="J58" s="1" t="s">
        <v>596</v>
      </c>
      <c r="K58" s="1" t="s">
        <v>194</v>
      </c>
      <c r="L58" s="1">
        <f t="shared" si="4"/>
        <v>1.22</v>
      </c>
    </row>
    <row r="59" spans="1:12" x14ac:dyDescent="0.3">
      <c r="A59" s="64" t="s">
        <v>181</v>
      </c>
      <c r="B59" s="1" t="s">
        <v>182</v>
      </c>
      <c r="C59" s="1">
        <v>2002</v>
      </c>
      <c r="D59" s="1" t="s">
        <v>381</v>
      </c>
      <c r="E59" s="1" t="s">
        <v>252</v>
      </c>
      <c r="F59" s="1" t="s">
        <v>261</v>
      </c>
      <c r="G59" s="1">
        <v>2000</v>
      </c>
      <c r="H59" s="1" t="s">
        <v>194</v>
      </c>
      <c r="I59" s="1">
        <v>16299</v>
      </c>
      <c r="J59" s="1" t="s">
        <v>596</v>
      </c>
      <c r="K59" s="1" t="s">
        <v>194</v>
      </c>
      <c r="L59" s="1">
        <f t="shared" si="4"/>
        <v>1.21</v>
      </c>
    </row>
    <row r="60" spans="1:12" x14ac:dyDescent="0.3">
      <c r="A60" s="64" t="s">
        <v>181</v>
      </c>
      <c r="B60" s="1" t="s">
        <v>182</v>
      </c>
      <c r="C60" s="1">
        <v>2002</v>
      </c>
      <c r="D60" s="1" t="s">
        <v>381</v>
      </c>
      <c r="E60" s="1" t="s">
        <v>276</v>
      </c>
      <c r="F60" s="1" t="s">
        <v>277</v>
      </c>
      <c r="G60" s="1">
        <v>2000</v>
      </c>
      <c r="H60" s="1" t="s">
        <v>194</v>
      </c>
      <c r="I60" s="1">
        <v>15851</v>
      </c>
      <c r="J60" s="1" t="s">
        <v>596</v>
      </c>
      <c r="K60" s="1" t="s">
        <v>194</v>
      </c>
      <c r="L60" s="1">
        <f t="shared" si="4"/>
        <v>1.18</v>
      </c>
    </row>
    <row r="61" spans="1:12" x14ac:dyDescent="0.3">
      <c r="A61" s="64" t="s">
        <v>181</v>
      </c>
      <c r="B61" s="1" t="s">
        <v>182</v>
      </c>
      <c r="C61" s="1">
        <v>2002</v>
      </c>
      <c r="D61" s="1" t="s">
        <v>381</v>
      </c>
      <c r="E61" s="1" t="s">
        <v>258</v>
      </c>
      <c r="F61" s="1" t="s">
        <v>261</v>
      </c>
      <c r="G61" s="1">
        <v>2000</v>
      </c>
      <c r="H61" s="1" t="s">
        <v>194</v>
      </c>
      <c r="I61" s="1">
        <v>11460</v>
      </c>
      <c r="J61" s="1" t="s">
        <v>596</v>
      </c>
      <c r="K61" s="1" t="s">
        <v>194</v>
      </c>
      <c r="L61" s="1">
        <f t="shared" si="4"/>
        <v>0.85</v>
      </c>
    </row>
    <row r="62" spans="1:12" x14ac:dyDescent="0.3">
      <c r="A62" s="64" t="s">
        <v>181</v>
      </c>
      <c r="B62" s="1" t="s">
        <v>182</v>
      </c>
      <c r="C62" s="1">
        <v>2002</v>
      </c>
      <c r="D62" s="1" t="s">
        <v>381</v>
      </c>
      <c r="E62" s="1" t="s">
        <v>418</v>
      </c>
      <c r="F62" s="1" t="s">
        <v>277</v>
      </c>
      <c r="G62" s="1">
        <v>2000</v>
      </c>
      <c r="H62" s="1" t="s">
        <v>194</v>
      </c>
      <c r="I62" s="1">
        <v>11409</v>
      </c>
      <c r="J62" s="1" t="s">
        <v>596</v>
      </c>
      <c r="K62" s="1" t="s">
        <v>194</v>
      </c>
      <c r="L62" s="1">
        <f t="shared" si="4"/>
        <v>0.85</v>
      </c>
    </row>
    <row r="63" spans="1:12" x14ac:dyDescent="0.3">
      <c r="A63" s="64" t="s">
        <v>181</v>
      </c>
      <c r="B63" s="1" t="s">
        <v>182</v>
      </c>
      <c r="C63" s="1">
        <v>2002</v>
      </c>
      <c r="D63" s="1" t="s">
        <v>381</v>
      </c>
      <c r="E63" s="1" t="s">
        <v>243</v>
      </c>
      <c r="F63" s="1" t="s">
        <v>243</v>
      </c>
      <c r="G63" s="1">
        <v>2000</v>
      </c>
      <c r="H63" s="1" t="s">
        <v>194</v>
      </c>
      <c r="I63" s="1">
        <f>SUM(I53:I62)</f>
        <v>295708</v>
      </c>
      <c r="J63" s="1" t="s">
        <v>596</v>
      </c>
      <c r="K63" s="1" t="s">
        <v>194</v>
      </c>
      <c r="L63" s="1">
        <f t="shared" si="4"/>
        <v>22.03</v>
      </c>
    </row>
    <row r="64" spans="1:12" x14ac:dyDescent="0.3">
      <c r="A64" s="64" t="s">
        <v>181</v>
      </c>
      <c r="B64" s="1" t="s">
        <v>182</v>
      </c>
      <c r="C64" s="1">
        <v>2005</v>
      </c>
      <c r="D64" s="1" t="s">
        <v>381</v>
      </c>
      <c r="E64" s="1" t="s">
        <v>272</v>
      </c>
      <c r="F64" s="1" t="s">
        <v>261</v>
      </c>
      <c r="G64" s="1">
        <v>2003</v>
      </c>
      <c r="H64" s="1" t="s">
        <v>194</v>
      </c>
      <c r="I64" s="1">
        <v>27181</v>
      </c>
      <c r="J64" s="1" t="s">
        <v>596</v>
      </c>
      <c r="K64" s="1" t="s">
        <v>194</v>
      </c>
      <c r="L64" s="1">
        <f>ROUND(I64/fiscal!$U$49*100,2)</f>
        <v>1.1399999999999999</v>
      </c>
    </row>
    <row r="65" spans="1:13" x14ac:dyDescent="0.3">
      <c r="A65" s="64" t="s">
        <v>181</v>
      </c>
      <c r="B65" s="1" t="s">
        <v>182</v>
      </c>
      <c r="C65" s="1">
        <v>2005</v>
      </c>
      <c r="D65" s="1" t="s">
        <v>381</v>
      </c>
      <c r="E65" s="1" t="s">
        <v>419</v>
      </c>
      <c r="F65" s="1" t="s">
        <v>261</v>
      </c>
      <c r="G65" s="1">
        <v>2003</v>
      </c>
      <c r="H65" s="1" t="s">
        <v>194</v>
      </c>
      <c r="I65" s="1">
        <v>68280</v>
      </c>
      <c r="J65" s="1" t="s">
        <v>596</v>
      </c>
      <c r="K65" s="1" t="s">
        <v>194</v>
      </c>
      <c r="L65" s="1">
        <f>ROUND(I65/fiscal!$U$49*100,2)</f>
        <v>2.87</v>
      </c>
    </row>
    <row r="66" spans="1:13" x14ac:dyDescent="0.3">
      <c r="A66" s="64" t="s">
        <v>181</v>
      </c>
      <c r="B66" s="1" t="s">
        <v>182</v>
      </c>
      <c r="C66" s="1">
        <v>2005</v>
      </c>
      <c r="D66" s="1" t="s">
        <v>381</v>
      </c>
      <c r="E66" s="1" t="s">
        <v>266</v>
      </c>
      <c r="F66" s="1" t="s">
        <v>261</v>
      </c>
      <c r="G66" s="1">
        <v>2003</v>
      </c>
      <c r="H66" s="1" t="s">
        <v>194</v>
      </c>
      <c r="I66" s="1">
        <v>42558</v>
      </c>
      <c r="J66" s="1" t="s">
        <v>596</v>
      </c>
      <c r="K66" s="1" t="s">
        <v>194</v>
      </c>
      <c r="L66" s="1">
        <f>ROUND(I66/fiscal!$U$49*100,2)</f>
        <v>1.79</v>
      </c>
    </row>
    <row r="67" spans="1:13" x14ac:dyDescent="0.3">
      <c r="A67" s="64" t="s">
        <v>181</v>
      </c>
      <c r="B67" s="1" t="s">
        <v>182</v>
      </c>
      <c r="C67" s="1">
        <v>2005</v>
      </c>
      <c r="D67" s="1" t="s">
        <v>381</v>
      </c>
      <c r="E67" s="1" t="s">
        <v>274</v>
      </c>
      <c r="F67" s="1" t="s">
        <v>261</v>
      </c>
      <c r="G67" s="1">
        <v>2003</v>
      </c>
      <c r="H67" s="1" t="s">
        <v>194</v>
      </c>
      <c r="I67" s="1">
        <v>43856</v>
      </c>
      <c r="J67" s="1" t="s">
        <v>596</v>
      </c>
      <c r="K67" s="1" t="s">
        <v>194</v>
      </c>
      <c r="L67" s="1">
        <f>ROUND(I67/fiscal!$U$49*100,2)</f>
        <v>1.84</v>
      </c>
    </row>
    <row r="68" spans="1:13" x14ac:dyDescent="0.3">
      <c r="A68" s="64" t="s">
        <v>181</v>
      </c>
      <c r="B68" s="1" t="s">
        <v>182</v>
      </c>
      <c r="C68" s="1">
        <v>2005</v>
      </c>
      <c r="D68" s="1" t="s">
        <v>381</v>
      </c>
      <c r="E68" s="1" t="s">
        <v>420</v>
      </c>
      <c r="F68" s="1" t="s">
        <v>261</v>
      </c>
      <c r="G68" s="1">
        <v>2003</v>
      </c>
      <c r="H68" s="1" t="s">
        <v>194</v>
      </c>
      <c r="I68" s="1">
        <v>42558</v>
      </c>
      <c r="J68" s="1" t="s">
        <v>596</v>
      </c>
      <c r="K68" s="1" t="s">
        <v>194</v>
      </c>
      <c r="L68" s="1">
        <f>ROUND(I68/fiscal!$U$49*100,2)</f>
        <v>1.79</v>
      </c>
    </row>
    <row r="69" spans="1:13" x14ac:dyDescent="0.3">
      <c r="A69" s="64" t="s">
        <v>181</v>
      </c>
      <c r="B69" s="1" t="s">
        <v>182</v>
      </c>
      <c r="C69" s="1">
        <v>2005</v>
      </c>
      <c r="D69" s="1" t="s">
        <v>381</v>
      </c>
      <c r="E69" s="1" t="s">
        <v>276</v>
      </c>
      <c r="F69" s="1" t="s">
        <v>277</v>
      </c>
      <c r="G69" s="1">
        <v>2003</v>
      </c>
      <c r="H69" s="1" t="s">
        <v>194</v>
      </c>
      <c r="I69" s="1">
        <v>26228</v>
      </c>
      <c r="J69" s="1" t="s">
        <v>596</v>
      </c>
      <c r="K69" s="1" t="s">
        <v>194</v>
      </c>
      <c r="L69" s="1">
        <f>ROUND(I69/fiscal!$U$49*100,2)</f>
        <v>1.1000000000000001</v>
      </c>
    </row>
    <row r="70" spans="1:13" x14ac:dyDescent="0.3">
      <c r="A70" s="64" t="s">
        <v>181</v>
      </c>
      <c r="B70" s="1" t="s">
        <v>182</v>
      </c>
      <c r="C70" s="1">
        <v>2005</v>
      </c>
      <c r="D70" s="1" t="s">
        <v>381</v>
      </c>
      <c r="E70" s="1" t="s">
        <v>421</v>
      </c>
      <c r="F70" s="1" t="s">
        <v>261</v>
      </c>
      <c r="G70" s="1">
        <v>2003</v>
      </c>
      <c r="H70" s="1" t="s">
        <v>194</v>
      </c>
      <c r="I70" s="1">
        <v>16270</v>
      </c>
      <c r="J70" s="1" t="s">
        <v>596</v>
      </c>
      <c r="K70" s="1" t="s">
        <v>194</v>
      </c>
      <c r="L70" s="1">
        <f>ROUND(I70/fiscal!$U$49*100,2)</f>
        <v>0.68</v>
      </c>
    </row>
    <row r="71" spans="1:13" x14ac:dyDescent="0.3">
      <c r="A71" s="64" t="s">
        <v>181</v>
      </c>
      <c r="B71" s="1" t="s">
        <v>182</v>
      </c>
      <c r="C71" s="1">
        <v>2005</v>
      </c>
      <c r="D71" s="1" t="s">
        <v>381</v>
      </c>
      <c r="E71" s="1" t="s">
        <v>422</v>
      </c>
      <c r="F71" s="1" t="s">
        <v>425</v>
      </c>
      <c r="G71" s="1">
        <v>2003</v>
      </c>
      <c r="H71" s="1" t="s">
        <v>194</v>
      </c>
      <c r="I71" s="1">
        <v>17412</v>
      </c>
      <c r="J71" s="1" t="s">
        <v>596</v>
      </c>
      <c r="K71" s="1" t="s">
        <v>194</v>
      </c>
      <c r="L71" s="1">
        <f>ROUND(I71/fiscal!$U$49*100,2)</f>
        <v>0.73</v>
      </c>
    </row>
    <row r="72" spans="1:13" x14ac:dyDescent="0.3">
      <c r="A72" s="64" t="s">
        <v>181</v>
      </c>
      <c r="B72" s="1" t="s">
        <v>182</v>
      </c>
      <c r="C72" s="1">
        <v>2005</v>
      </c>
      <c r="D72" s="1" t="s">
        <v>381</v>
      </c>
      <c r="E72" s="1" t="s">
        <v>278</v>
      </c>
      <c r="F72" s="1" t="s">
        <v>263</v>
      </c>
      <c r="G72" s="1">
        <v>2003</v>
      </c>
      <c r="H72" s="1" t="s">
        <v>194</v>
      </c>
      <c r="I72" s="1">
        <v>21357</v>
      </c>
      <c r="J72" s="1" t="s">
        <v>596</v>
      </c>
      <c r="K72" s="1" t="s">
        <v>194</v>
      </c>
      <c r="L72" s="1">
        <f>ROUND(I72/fiscal!$U$49*100,2)</f>
        <v>0.9</v>
      </c>
    </row>
    <row r="73" spans="1:13" x14ac:dyDescent="0.3">
      <c r="A73" s="64" t="s">
        <v>181</v>
      </c>
      <c r="B73" s="1" t="s">
        <v>182</v>
      </c>
      <c r="C73" s="1">
        <v>2005</v>
      </c>
      <c r="D73" s="1" t="s">
        <v>381</v>
      </c>
      <c r="E73" s="1" t="s">
        <v>423</v>
      </c>
      <c r="F73" s="1" t="s">
        <v>261</v>
      </c>
      <c r="G73" s="1">
        <v>2003</v>
      </c>
      <c r="H73" s="1" t="s">
        <v>194</v>
      </c>
      <c r="I73" s="1">
        <v>18744</v>
      </c>
      <c r="J73" s="1" t="s">
        <v>596</v>
      </c>
      <c r="K73" s="1" t="s">
        <v>194</v>
      </c>
      <c r="L73" s="1">
        <f>ROUND(I73/fiscal!$U$49*100,2)</f>
        <v>0.79</v>
      </c>
    </row>
    <row r="74" spans="1:13" x14ac:dyDescent="0.3">
      <c r="A74" s="64" t="s">
        <v>181</v>
      </c>
      <c r="B74" s="1" t="s">
        <v>182</v>
      </c>
      <c r="C74" s="1">
        <v>2005</v>
      </c>
      <c r="D74" s="1" t="s">
        <v>381</v>
      </c>
      <c r="E74" s="1" t="s">
        <v>243</v>
      </c>
      <c r="F74" s="1" t="s">
        <v>243</v>
      </c>
      <c r="G74" s="1">
        <v>2003</v>
      </c>
      <c r="H74" s="1" t="s">
        <v>194</v>
      </c>
      <c r="I74" s="1">
        <f>SUM(I64:I73)</f>
        <v>324444</v>
      </c>
      <c r="J74" s="1" t="s">
        <v>596</v>
      </c>
      <c r="K74" s="1" t="s">
        <v>194</v>
      </c>
      <c r="L74" s="1">
        <f>ROUND(I74/fiscal!$U$49*100,2)</f>
        <v>13.64</v>
      </c>
    </row>
    <row r="75" spans="1:13" x14ac:dyDescent="0.3">
      <c r="A75" s="64" t="s">
        <v>181</v>
      </c>
      <c r="B75" s="1" t="s">
        <v>182</v>
      </c>
      <c r="C75" s="1">
        <v>2005</v>
      </c>
      <c r="D75" s="1" t="s">
        <v>381</v>
      </c>
      <c r="E75" s="1" t="s">
        <v>272</v>
      </c>
      <c r="F75" s="1" t="s">
        <v>261</v>
      </c>
      <c r="G75" s="1">
        <v>2004</v>
      </c>
      <c r="H75" s="1" t="s">
        <v>194</v>
      </c>
      <c r="I75" s="1">
        <v>108170</v>
      </c>
      <c r="J75" s="1" t="s">
        <v>596</v>
      </c>
      <c r="K75" s="1" t="s">
        <v>194</v>
      </c>
      <c r="L75" s="1">
        <f>ROUND(I75/fiscal!$V$49*100,2)</f>
        <v>4.7699999999999996</v>
      </c>
      <c r="M75" s="1" t="s">
        <v>424</v>
      </c>
    </row>
    <row r="76" spans="1:13" x14ac:dyDescent="0.3">
      <c r="A76" s="64" t="s">
        <v>181</v>
      </c>
      <c r="B76" s="1" t="s">
        <v>182</v>
      </c>
      <c r="C76" s="1">
        <v>2005</v>
      </c>
      <c r="D76" s="1" t="s">
        <v>381</v>
      </c>
      <c r="E76" s="1" t="s">
        <v>419</v>
      </c>
      <c r="F76" s="1" t="s">
        <v>261</v>
      </c>
      <c r="G76" s="1">
        <v>2004</v>
      </c>
      <c r="H76" s="1" t="s">
        <v>194</v>
      </c>
      <c r="I76" s="1">
        <v>80023</v>
      </c>
      <c r="J76" s="1" t="s">
        <v>596</v>
      </c>
      <c r="K76" s="1" t="s">
        <v>194</v>
      </c>
      <c r="L76" s="1">
        <f>ROUND(I76/fiscal!$V$49*100,2)</f>
        <v>3.53</v>
      </c>
    </row>
    <row r="77" spans="1:13" x14ac:dyDescent="0.3">
      <c r="A77" s="64" t="s">
        <v>181</v>
      </c>
      <c r="B77" s="1" t="s">
        <v>182</v>
      </c>
      <c r="C77" s="1">
        <v>2005</v>
      </c>
      <c r="D77" s="1" t="s">
        <v>381</v>
      </c>
      <c r="E77" s="1" t="s">
        <v>266</v>
      </c>
      <c r="F77" s="1" t="s">
        <v>261</v>
      </c>
      <c r="G77" s="1">
        <v>2004</v>
      </c>
      <c r="H77" s="1" t="s">
        <v>194</v>
      </c>
      <c r="I77" s="1">
        <v>50296</v>
      </c>
      <c r="J77" s="1" t="s">
        <v>596</v>
      </c>
      <c r="K77" s="1" t="s">
        <v>194</v>
      </c>
      <c r="L77" s="1">
        <f>ROUND(I77/fiscal!$V$49*100,2)</f>
        <v>2.2200000000000002</v>
      </c>
    </row>
    <row r="78" spans="1:13" x14ac:dyDescent="0.3">
      <c r="A78" s="64" t="s">
        <v>181</v>
      </c>
      <c r="B78" s="1" t="s">
        <v>182</v>
      </c>
      <c r="C78" s="1">
        <v>2005</v>
      </c>
      <c r="D78" s="1" t="s">
        <v>381</v>
      </c>
      <c r="E78" s="1" t="s">
        <v>274</v>
      </c>
      <c r="F78" s="1" t="s">
        <v>261</v>
      </c>
      <c r="G78" s="1">
        <v>2004</v>
      </c>
      <c r="H78" s="1" t="s">
        <v>194</v>
      </c>
      <c r="I78" s="1">
        <v>49148</v>
      </c>
      <c r="J78" s="1" t="s">
        <v>596</v>
      </c>
      <c r="K78" s="1" t="s">
        <v>194</v>
      </c>
      <c r="L78" s="1">
        <f>ROUND(I78/fiscal!$V$49*100,2)</f>
        <v>2.17</v>
      </c>
    </row>
    <row r="79" spans="1:13" x14ac:dyDescent="0.3">
      <c r="A79" s="64" t="s">
        <v>181</v>
      </c>
      <c r="B79" s="1" t="s">
        <v>182</v>
      </c>
      <c r="C79" s="1">
        <v>2005</v>
      </c>
      <c r="D79" s="1" t="s">
        <v>381</v>
      </c>
      <c r="E79" s="1" t="s">
        <v>420</v>
      </c>
      <c r="F79" s="1" t="s">
        <v>261</v>
      </c>
      <c r="G79" s="1">
        <v>2004</v>
      </c>
      <c r="H79" s="1" t="s">
        <v>194</v>
      </c>
      <c r="I79" s="1">
        <v>45721</v>
      </c>
      <c r="J79" s="1" t="s">
        <v>596</v>
      </c>
      <c r="K79" s="1" t="s">
        <v>194</v>
      </c>
      <c r="L79" s="1">
        <f>ROUND(I79/fiscal!$V$49*100,2)</f>
        <v>2.0099999999999998</v>
      </c>
    </row>
    <row r="80" spans="1:13" x14ac:dyDescent="0.3">
      <c r="A80" s="64" t="s">
        <v>181</v>
      </c>
      <c r="B80" s="1" t="s">
        <v>182</v>
      </c>
      <c r="C80" s="1">
        <v>2005</v>
      </c>
      <c r="D80" s="1" t="s">
        <v>381</v>
      </c>
      <c r="E80" s="1" t="s">
        <v>276</v>
      </c>
      <c r="F80" s="1" t="s">
        <v>277</v>
      </c>
      <c r="G80" s="1">
        <v>2004</v>
      </c>
      <c r="H80" s="1" t="s">
        <v>194</v>
      </c>
      <c r="I80" s="1">
        <v>25254</v>
      </c>
      <c r="J80" s="1" t="s">
        <v>596</v>
      </c>
      <c r="K80" s="1" t="s">
        <v>194</v>
      </c>
      <c r="L80" s="1">
        <f>ROUND(I80/fiscal!$V$49*100,2)</f>
        <v>1.1100000000000001</v>
      </c>
    </row>
    <row r="81" spans="1:12" x14ac:dyDescent="0.3">
      <c r="A81" s="64" t="s">
        <v>181</v>
      </c>
      <c r="B81" s="1" t="s">
        <v>182</v>
      </c>
      <c r="C81" s="1">
        <v>2005</v>
      </c>
      <c r="D81" s="1" t="s">
        <v>381</v>
      </c>
      <c r="E81" s="1" t="s">
        <v>421</v>
      </c>
      <c r="F81" s="1" t="s">
        <v>261</v>
      </c>
      <c r="G81" s="1">
        <v>2004</v>
      </c>
      <c r="H81" s="1" t="s">
        <v>194</v>
      </c>
      <c r="I81" s="1">
        <v>24264</v>
      </c>
      <c r="J81" s="1" t="s">
        <v>596</v>
      </c>
      <c r="K81" s="1" t="s">
        <v>194</v>
      </c>
      <c r="L81" s="1">
        <f>ROUND(I81/fiscal!$V$49*100,2)</f>
        <v>1.07</v>
      </c>
    </row>
    <row r="82" spans="1:12" x14ac:dyDescent="0.3">
      <c r="A82" s="64" t="s">
        <v>181</v>
      </c>
      <c r="B82" s="1" t="s">
        <v>182</v>
      </c>
      <c r="C82" s="1">
        <v>2005</v>
      </c>
      <c r="D82" s="1" t="s">
        <v>381</v>
      </c>
      <c r="E82" s="1" t="s">
        <v>422</v>
      </c>
      <c r="F82" s="1" t="s">
        <v>425</v>
      </c>
      <c r="G82" s="1">
        <v>2004</v>
      </c>
      <c r="H82" s="1" t="s">
        <v>194</v>
      </c>
      <c r="I82" s="1">
        <v>21227</v>
      </c>
      <c r="J82" s="1" t="s">
        <v>596</v>
      </c>
      <c r="K82" s="1" t="s">
        <v>194</v>
      </c>
      <c r="L82" s="1">
        <f>ROUND(I82/fiscal!$V$49*100,2)</f>
        <v>0.94</v>
      </c>
    </row>
    <row r="83" spans="1:12" x14ac:dyDescent="0.3">
      <c r="A83" s="64" t="s">
        <v>181</v>
      </c>
      <c r="B83" s="1" t="s">
        <v>182</v>
      </c>
      <c r="C83" s="1">
        <v>2005</v>
      </c>
      <c r="D83" s="1" t="s">
        <v>381</v>
      </c>
      <c r="E83" s="1" t="s">
        <v>278</v>
      </c>
      <c r="F83" s="1" t="s">
        <v>263</v>
      </c>
      <c r="G83" s="1">
        <v>2004</v>
      </c>
      <c r="H83" s="1" t="s">
        <v>194</v>
      </c>
      <c r="I83" s="1">
        <v>19963</v>
      </c>
      <c r="J83" s="1" t="s">
        <v>596</v>
      </c>
      <c r="K83" s="1" t="s">
        <v>194</v>
      </c>
      <c r="L83" s="1">
        <f>ROUND(I83/fiscal!$V$49*100,2)</f>
        <v>0.88</v>
      </c>
    </row>
    <row r="84" spans="1:12" x14ac:dyDescent="0.3">
      <c r="A84" s="64" t="s">
        <v>181</v>
      </c>
      <c r="B84" s="1" t="s">
        <v>182</v>
      </c>
      <c r="C84" s="1">
        <v>2005</v>
      </c>
      <c r="D84" s="1" t="s">
        <v>381</v>
      </c>
      <c r="E84" s="1" t="s">
        <v>423</v>
      </c>
      <c r="F84" s="1" t="s">
        <v>261</v>
      </c>
      <c r="G84" s="1">
        <v>2004</v>
      </c>
      <c r="H84" s="1" t="s">
        <v>194</v>
      </c>
      <c r="I84" s="1">
        <v>19809</v>
      </c>
      <c r="J84" s="1" t="s">
        <v>596</v>
      </c>
      <c r="K84" s="1" t="s">
        <v>194</v>
      </c>
      <c r="L84" s="1">
        <f>ROUND(I84/fiscal!$V$49*100,2)</f>
        <v>0.87</v>
      </c>
    </row>
    <row r="85" spans="1:12" x14ac:dyDescent="0.3">
      <c r="A85" s="64" t="s">
        <v>181</v>
      </c>
      <c r="B85" s="1" t="s">
        <v>182</v>
      </c>
      <c r="C85" s="1">
        <v>2005</v>
      </c>
      <c r="D85" s="1" t="s">
        <v>381</v>
      </c>
      <c r="E85" s="1" t="s">
        <v>243</v>
      </c>
      <c r="F85" s="1" t="s">
        <v>243</v>
      </c>
      <c r="G85" s="1">
        <v>2004</v>
      </c>
      <c r="H85" s="1" t="s">
        <v>194</v>
      </c>
      <c r="I85" s="1">
        <f>SUM(I75:I84)</f>
        <v>443875</v>
      </c>
      <c r="J85" s="1" t="s">
        <v>596</v>
      </c>
      <c r="K85" s="1" t="s">
        <v>194</v>
      </c>
      <c r="L85" s="1">
        <f>ROUND(I85/fiscal!$V$49*100,2)</f>
        <v>19.55</v>
      </c>
    </row>
    <row r="86" spans="1:12" x14ac:dyDescent="0.3">
      <c r="A86" s="64" t="s">
        <v>181</v>
      </c>
      <c r="B86" s="1" t="s">
        <v>182</v>
      </c>
      <c r="C86" s="1">
        <v>2010</v>
      </c>
      <c r="D86" s="1" t="s">
        <v>381</v>
      </c>
      <c r="E86" s="1" t="s">
        <v>272</v>
      </c>
      <c r="F86" s="1" t="s">
        <v>261</v>
      </c>
      <c r="G86" s="1">
        <v>2008</v>
      </c>
      <c r="H86" s="1" t="s">
        <v>194</v>
      </c>
      <c r="I86" s="1">
        <v>132365</v>
      </c>
      <c r="J86" s="1" t="s">
        <v>596</v>
      </c>
      <c r="K86" s="1" t="s">
        <v>194</v>
      </c>
      <c r="L86" s="1">
        <f>ROUND(I86/2545457*100,2)</f>
        <v>5.2</v>
      </c>
    </row>
    <row r="87" spans="1:12" x14ac:dyDescent="0.3">
      <c r="A87" s="64" t="s">
        <v>181</v>
      </c>
      <c r="B87" s="1" t="s">
        <v>182</v>
      </c>
      <c r="C87" s="1">
        <v>2010</v>
      </c>
      <c r="D87" s="1" t="s">
        <v>381</v>
      </c>
      <c r="E87" s="1" t="s">
        <v>273</v>
      </c>
      <c r="F87" s="1" t="s">
        <v>261</v>
      </c>
      <c r="G87" s="1">
        <v>2008</v>
      </c>
      <c r="H87" s="1" t="s">
        <v>194</v>
      </c>
      <c r="I87" s="1">
        <v>100957</v>
      </c>
      <c r="J87" s="1" t="s">
        <v>596</v>
      </c>
      <c r="K87" s="1" t="s">
        <v>194</v>
      </c>
      <c r="L87" s="1">
        <f t="shared" ref="L87:L96" si="5">ROUND(I87/2545457*100,2)</f>
        <v>3.97</v>
      </c>
    </row>
    <row r="88" spans="1:12" x14ac:dyDescent="0.3">
      <c r="A88" s="64" t="s">
        <v>181</v>
      </c>
      <c r="B88" s="1" t="s">
        <v>182</v>
      </c>
      <c r="C88" s="1">
        <v>2010</v>
      </c>
      <c r="D88" s="1" t="s">
        <v>381</v>
      </c>
      <c r="E88" s="1" t="s">
        <v>266</v>
      </c>
      <c r="F88" s="1" t="s">
        <v>261</v>
      </c>
      <c r="G88" s="1">
        <v>2008</v>
      </c>
      <c r="H88" s="1" t="s">
        <v>194</v>
      </c>
      <c r="I88" s="1">
        <v>95617</v>
      </c>
      <c r="J88" s="1" t="s">
        <v>596</v>
      </c>
      <c r="K88" s="1" t="s">
        <v>194</v>
      </c>
      <c r="L88" s="1">
        <f t="shared" si="5"/>
        <v>3.76</v>
      </c>
    </row>
    <row r="89" spans="1:12" x14ac:dyDescent="0.3">
      <c r="A89" s="64" t="s">
        <v>181</v>
      </c>
      <c r="B89" s="1" t="s">
        <v>182</v>
      </c>
      <c r="C89" s="1">
        <v>2010</v>
      </c>
      <c r="D89" s="1" t="s">
        <v>381</v>
      </c>
      <c r="E89" s="1" t="s">
        <v>427</v>
      </c>
      <c r="F89" s="1" t="s">
        <v>261</v>
      </c>
      <c r="G89" s="1">
        <v>2008</v>
      </c>
      <c r="H89" s="1" t="s">
        <v>194</v>
      </c>
      <c r="I89" s="1">
        <v>72574</v>
      </c>
      <c r="J89" s="1" t="s">
        <v>596</v>
      </c>
      <c r="K89" s="1" t="s">
        <v>194</v>
      </c>
      <c r="L89" s="1">
        <f t="shared" si="5"/>
        <v>2.85</v>
      </c>
    </row>
    <row r="90" spans="1:12" x14ac:dyDescent="0.3">
      <c r="A90" s="64" t="s">
        <v>181</v>
      </c>
      <c r="B90" s="1" t="s">
        <v>182</v>
      </c>
      <c r="C90" s="1">
        <v>2010</v>
      </c>
      <c r="D90" s="1" t="s">
        <v>381</v>
      </c>
      <c r="E90" s="1" t="s">
        <v>276</v>
      </c>
      <c r="F90" s="1" t="s">
        <v>277</v>
      </c>
      <c r="G90" s="1">
        <v>2008</v>
      </c>
      <c r="H90" s="1" t="s">
        <v>194</v>
      </c>
      <c r="I90" s="1">
        <v>37633</v>
      </c>
      <c r="J90" s="1" t="s">
        <v>596</v>
      </c>
      <c r="K90" s="1" t="s">
        <v>194</v>
      </c>
      <c r="L90" s="1">
        <f t="shared" si="5"/>
        <v>1.48</v>
      </c>
    </row>
    <row r="91" spans="1:12" x14ac:dyDescent="0.3">
      <c r="A91" s="64" t="s">
        <v>181</v>
      </c>
      <c r="B91" s="1" t="s">
        <v>182</v>
      </c>
      <c r="C91" s="1">
        <v>2010</v>
      </c>
      <c r="D91" s="1" t="s">
        <v>381</v>
      </c>
      <c r="E91" s="1" t="s">
        <v>416</v>
      </c>
      <c r="F91" s="1" t="s">
        <v>261</v>
      </c>
      <c r="G91" s="1">
        <v>2008</v>
      </c>
      <c r="H91" s="1" t="s">
        <v>194</v>
      </c>
      <c r="I91" s="1">
        <v>34002</v>
      </c>
      <c r="J91" s="1" t="s">
        <v>596</v>
      </c>
      <c r="K91" s="1" t="s">
        <v>194</v>
      </c>
      <c r="L91" s="1">
        <f t="shared" si="5"/>
        <v>1.34</v>
      </c>
    </row>
    <row r="92" spans="1:12" x14ac:dyDescent="0.3">
      <c r="A92" s="64" t="s">
        <v>181</v>
      </c>
      <c r="B92" s="1" t="s">
        <v>182</v>
      </c>
      <c r="C92" s="1">
        <v>2010</v>
      </c>
      <c r="D92" s="1" t="s">
        <v>381</v>
      </c>
      <c r="E92" s="1" t="s">
        <v>428</v>
      </c>
      <c r="F92" s="1" t="s">
        <v>261</v>
      </c>
      <c r="G92" s="1">
        <v>2008</v>
      </c>
      <c r="H92" s="1" t="s">
        <v>194</v>
      </c>
      <c r="I92" s="1">
        <v>28579</v>
      </c>
      <c r="J92" s="1" t="s">
        <v>596</v>
      </c>
      <c r="K92" s="1" t="s">
        <v>194</v>
      </c>
      <c r="L92" s="1">
        <f t="shared" si="5"/>
        <v>1.1200000000000001</v>
      </c>
    </row>
    <row r="93" spans="1:12" x14ac:dyDescent="0.3">
      <c r="A93" s="64" t="s">
        <v>181</v>
      </c>
      <c r="B93" s="1" t="s">
        <v>182</v>
      </c>
      <c r="C93" s="1">
        <v>2010</v>
      </c>
      <c r="D93" s="1" t="s">
        <v>381</v>
      </c>
      <c r="E93" s="1" t="s">
        <v>256</v>
      </c>
      <c r="F93" s="1" t="s">
        <v>263</v>
      </c>
      <c r="G93" s="1">
        <v>2008</v>
      </c>
      <c r="H93" s="1" t="s">
        <v>194</v>
      </c>
      <c r="I93" s="1">
        <v>25834</v>
      </c>
      <c r="J93" s="1" t="s">
        <v>596</v>
      </c>
      <c r="K93" s="1" t="s">
        <v>194</v>
      </c>
      <c r="L93" s="1">
        <f t="shared" si="5"/>
        <v>1.01</v>
      </c>
    </row>
    <row r="94" spans="1:12" x14ac:dyDescent="0.3">
      <c r="A94" s="64" t="s">
        <v>181</v>
      </c>
      <c r="B94" s="1" t="s">
        <v>182</v>
      </c>
      <c r="C94" s="1">
        <v>2010</v>
      </c>
      <c r="D94" s="1" t="s">
        <v>381</v>
      </c>
      <c r="E94" s="1" t="s">
        <v>418</v>
      </c>
      <c r="F94" s="1" t="s">
        <v>277</v>
      </c>
      <c r="G94" s="1">
        <v>2008</v>
      </c>
      <c r="H94" s="1" t="s">
        <v>194</v>
      </c>
      <c r="I94" s="1">
        <v>23258</v>
      </c>
      <c r="J94" s="1" t="s">
        <v>596</v>
      </c>
      <c r="K94" s="1" t="s">
        <v>194</v>
      </c>
      <c r="L94" s="1">
        <f t="shared" si="5"/>
        <v>0.91</v>
      </c>
    </row>
    <row r="95" spans="1:12" x14ac:dyDescent="0.3">
      <c r="A95" s="64" t="s">
        <v>181</v>
      </c>
      <c r="B95" s="1" t="s">
        <v>182</v>
      </c>
      <c r="C95" s="1">
        <v>2010</v>
      </c>
      <c r="D95" s="1" t="s">
        <v>381</v>
      </c>
      <c r="E95" s="1" t="s">
        <v>429</v>
      </c>
      <c r="F95" s="1" t="s">
        <v>426</v>
      </c>
      <c r="G95" s="1">
        <v>2008</v>
      </c>
      <c r="H95" s="1" t="s">
        <v>194</v>
      </c>
      <c r="I95" s="1">
        <v>21766</v>
      </c>
      <c r="J95" s="1" t="s">
        <v>596</v>
      </c>
      <c r="K95" s="1" t="s">
        <v>194</v>
      </c>
      <c r="L95" s="1">
        <f t="shared" si="5"/>
        <v>0.86</v>
      </c>
    </row>
    <row r="96" spans="1:12" x14ac:dyDescent="0.3">
      <c r="A96" s="64" t="s">
        <v>181</v>
      </c>
      <c r="B96" s="1" t="s">
        <v>182</v>
      </c>
      <c r="C96" s="1">
        <v>2010</v>
      </c>
      <c r="D96" s="1" t="s">
        <v>381</v>
      </c>
      <c r="E96" s="1" t="s">
        <v>243</v>
      </c>
      <c r="F96" s="1" t="s">
        <v>243</v>
      </c>
      <c r="G96" s="1">
        <v>2008</v>
      </c>
      <c r="H96" s="1" t="s">
        <v>194</v>
      </c>
      <c r="I96" s="1">
        <f>SUM(I86:I95)</f>
        <v>572585</v>
      </c>
      <c r="J96" s="1" t="s">
        <v>596</v>
      </c>
      <c r="K96" s="1" t="s">
        <v>194</v>
      </c>
      <c r="L96" s="1">
        <f t="shared" si="5"/>
        <v>22.49</v>
      </c>
    </row>
    <row r="97" spans="1:13" x14ac:dyDescent="0.3">
      <c r="A97" s="64" t="s">
        <v>181</v>
      </c>
      <c r="B97" s="1" t="s">
        <v>182</v>
      </c>
      <c r="C97" s="1">
        <v>2010</v>
      </c>
      <c r="D97" s="1" t="s">
        <v>381</v>
      </c>
      <c r="E97" s="1" t="s">
        <v>272</v>
      </c>
      <c r="F97" s="1" t="s">
        <v>261</v>
      </c>
      <c r="G97" s="1">
        <v>2009</v>
      </c>
      <c r="H97" s="1" t="s">
        <v>194</v>
      </c>
      <c r="I97" s="1">
        <v>50632</v>
      </c>
      <c r="J97" s="1" t="s">
        <v>596</v>
      </c>
      <c r="K97" s="1" t="s">
        <v>194</v>
      </c>
      <c r="L97" s="1">
        <f>ROUND(I97/2366889*100,2)</f>
        <v>2.14</v>
      </c>
      <c r="M97" s="1" t="s">
        <v>424</v>
      </c>
    </row>
    <row r="98" spans="1:13" x14ac:dyDescent="0.3">
      <c r="A98" s="64" t="s">
        <v>181</v>
      </c>
      <c r="B98" s="1" t="s">
        <v>182</v>
      </c>
      <c r="C98" s="1">
        <v>2010</v>
      </c>
      <c r="D98" s="1" t="s">
        <v>381</v>
      </c>
      <c r="E98" s="1" t="s">
        <v>273</v>
      </c>
      <c r="F98" s="1" t="s">
        <v>261</v>
      </c>
      <c r="G98" s="1">
        <v>2009</v>
      </c>
      <c r="H98" s="1" t="s">
        <v>194</v>
      </c>
      <c r="I98" s="1">
        <v>74775</v>
      </c>
      <c r="J98" s="1" t="s">
        <v>596</v>
      </c>
      <c r="K98" s="1" t="s">
        <v>194</v>
      </c>
      <c r="L98" s="1">
        <f t="shared" ref="L98:L106" si="6">ROUND(I98/2366889*100,2)</f>
        <v>3.16</v>
      </c>
    </row>
    <row r="99" spans="1:13" x14ac:dyDescent="0.3">
      <c r="A99" s="64" t="s">
        <v>181</v>
      </c>
      <c r="B99" s="1" t="s">
        <v>182</v>
      </c>
      <c r="C99" s="1">
        <v>2010</v>
      </c>
      <c r="D99" s="1" t="s">
        <v>381</v>
      </c>
      <c r="E99" s="1" t="s">
        <v>266</v>
      </c>
      <c r="F99" s="1" t="s">
        <v>261</v>
      </c>
      <c r="G99" s="1">
        <v>2009</v>
      </c>
      <c r="H99" s="1" t="s">
        <v>194</v>
      </c>
      <c r="I99" s="1">
        <v>70731</v>
      </c>
      <c r="J99" s="1" t="s">
        <v>596</v>
      </c>
      <c r="K99" s="1" t="s">
        <v>194</v>
      </c>
      <c r="L99" s="1">
        <f t="shared" si="6"/>
        <v>2.99</v>
      </c>
    </row>
    <row r="100" spans="1:13" x14ac:dyDescent="0.3">
      <c r="A100" s="64" t="s">
        <v>181</v>
      </c>
      <c r="B100" s="1" t="s">
        <v>182</v>
      </c>
      <c r="C100" s="1">
        <v>2010</v>
      </c>
      <c r="D100" s="1" t="s">
        <v>381</v>
      </c>
      <c r="E100" s="1" t="s">
        <v>427</v>
      </c>
      <c r="F100" s="1" t="s">
        <v>261</v>
      </c>
      <c r="G100" s="1">
        <v>2009</v>
      </c>
      <c r="H100" s="1" t="s">
        <v>194</v>
      </c>
      <c r="I100" s="1">
        <v>71703</v>
      </c>
      <c r="J100" s="1" t="s">
        <v>596</v>
      </c>
      <c r="K100" s="1" t="s">
        <v>194</v>
      </c>
      <c r="L100" s="1">
        <f t="shared" si="6"/>
        <v>3.03</v>
      </c>
    </row>
    <row r="101" spans="1:13" x14ac:dyDescent="0.3">
      <c r="A101" s="64" t="s">
        <v>181</v>
      </c>
      <c r="B101" s="1" t="s">
        <v>182</v>
      </c>
      <c r="C101" s="1">
        <v>2010</v>
      </c>
      <c r="D101" s="1" t="s">
        <v>381</v>
      </c>
      <c r="E101" s="1" t="s">
        <v>276</v>
      </c>
      <c r="F101" s="1" t="s">
        <v>277</v>
      </c>
      <c r="G101" s="1">
        <v>2009</v>
      </c>
      <c r="H101" s="1" t="s">
        <v>194</v>
      </c>
      <c r="I101" s="1">
        <v>54522</v>
      </c>
      <c r="J101" s="1" t="s">
        <v>596</v>
      </c>
      <c r="K101" s="1" t="s">
        <v>194</v>
      </c>
      <c r="L101" s="1">
        <f t="shared" si="6"/>
        <v>2.2999999999999998</v>
      </c>
    </row>
    <row r="102" spans="1:13" x14ac:dyDescent="0.3">
      <c r="A102" s="64" t="s">
        <v>181</v>
      </c>
      <c r="B102" s="1" t="s">
        <v>182</v>
      </c>
      <c r="C102" s="1">
        <v>2010</v>
      </c>
      <c r="D102" s="1" t="s">
        <v>381</v>
      </c>
      <c r="E102" s="1" t="s">
        <v>416</v>
      </c>
      <c r="F102" s="1" t="s">
        <v>261</v>
      </c>
      <c r="G102" s="1">
        <v>2009</v>
      </c>
      <c r="H102" s="1" t="s">
        <v>194</v>
      </c>
      <c r="I102" s="1">
        <v>30245</v>
      </c>
      <c r="J102" s="1" t="s">
        <v>596</v>
      </c>
      <c r="K102" s="1" t="s">
        <v>194</v>
      </c>
      <c r="L102" s="1">
        <f t="shared" si="6"/>
        <v>1.28</v>
      </c>
    </row>
    <row r="103" spans="1:13" x14ac:dyDescent="0.3">
      <c r="A103" s="64" t="s">
        <v>181</v>
      </c>
      <c r="B103" s="1" t="s">
        <v>182</v>
      </c>
      <c r="C103" s="1">
        <v>2010</v>
      </c>
      <c r="D103" s="1" t="s">
        <v>381</v>
      </c>
      <c r="E103" s="1" t="s">
        <v>428</v>
      </c>
      <c r="F103" s="1" t="s">
        <v>261</v>
      </c>
      <c r="G103" s="1">
        <v>2009</v>
      </c>
      <c r="H103" s="1" t="s">
        <v>194</v>
      </c>
      <c r="I103" s="1">
        <v>25962</v>
      </c>
      <c r="J103" s="1" t="s">
        <v>596</v>
      </c>
      <c r="K103" s="1" t="s">
        <v>194</v>
      </c>
      <c r="L103" s="1">
        <f t="shared" si="6"/>
        <v>1.1000000000000001</v>
      </c>
    </row>
    <row r="104" spans="1:13" x14ac:dyDescent="0.3">
      <c r="A104" s="64" t="s">
        <v>181</v>
      </c>
      <c r="B104" s="1" t="s">
        <v>182</v>
      </c>
      <c r="C104" s="1">
        <v>2010</v>
      </c>
      <c r="D104" s="1" t="s">
        <v>381</v>
      </c>
      <c r="E104" s="1" t="s">
        <v>256</v>
      </c>
      <c r="F104" s="1" t="s">
        <v>263</v>
      </c>
      <c r="G104" s="1">
        <v>2009</v>
      </c>
      <c r="H104" s="1" t="s">
        <v>194</v>
      </c>
      <c r="I104" s="1">
        <v>22381</v>
      </c>
      <c r="J104" s="1" t="s">
        <v>596</v>
      </c>
      <c r="K104" s="1" t="s">
        <v>194</v>
      </c>
      <c r="L104" s="1">
        <f t="shared" si="6"/>
        <v>0.95</v>
      </c>
    </row>
    <row r="105" spans="1:13" x14ac:dyDescent="0.3">
      <c r="A105" s="64" t="s">
        <v>181</v>
      </c>
      <c r="B105" s="1" t="s">
        <v>182</v>
      </c>
      <c r="C105" s="1">
        <v>2010</v>
      </c>
      <c r="D105" s="1" t="s">
        <v>381</v>
      </c>
      <c r="E105" s="1" t="s">
        <v>418</v>
      </c>
      <c r="F105" s="1" t="s">
        <v>277</v>
      </c>
      <c r="G105" s="1">
        <v>2009</v>
      </c>
      <c r="H105" s="1" t="s">
        <v>194</v>
      </c>
      <c r="I105" s="1">
        <v>23547</v>
      </c>
      <c r="J105" s="1" t="s">
        <v>596</v>
      </c>
      <c r="K105" s="1" t="s">
        <v>194</v>
      </c>
      <c r="L105" s="1">
        <f t="shared" si="6"/>
        <v>0.99</v>
      </c>
    </row>
    <row r="106" spans="1:13" x14ac:dyDescent="0.3">
      <c r="A106" s="64" t="s">
        <v>181</v>
      </c>
      <c r="B106" s="1" t="s">
        <v>182</v>
      </c>
      <c r="C106" s="1">
        <v>2010</v>
      </c>
      <c r="D106" s="1" t="s">
        <v>381</v>
      </c>
      <c r="E106" s="1" t="s">
        <v>429</v>
      </c>
      <c r="F106" s="1" t="s">
        <v>426</v>
      </c>
      <c r="G106" s="1">
        <v>2009</v>
      </c>
      <c r="H106" s="1" t="s">
        <v>194</v>
      </c>
      <c r="I106" s="1">
        <v>20357</v>
      </c>
      <c r="J106" s="1" t="s">
        <v>596</v>
      </c>
      <c r="K106" s="1" t="s">
        <v>194</v>
      </c>
      <c r="L106" s="1">
        <f t="shared" si="6"/>
        <v>0.86</v>
      </c>
    </row>
    <row r="107" spans="1:13" x14ac:dyDescent="0.3">
      <c r="A107" s="64" t="s">
        <v>181</v>
      </c>
      <c r="B107" s="1" t="s">
        <v>182</v>
      </c>
      <c r="C107" s="1">
        <v>2010</v>
      </c>
      <c r="D107" s="1" t="s">
        <v>381</v>
      </c>
      <c r="E107" s="1" t="s">
        <v>243</v>
      </c>
      <c r="F107" s="1" t="s">
        <v>243</v>
      </c>
      <c r="G107" s="1">
        <v>2009</v>
      </c>
      <c r="H107" s="1" t="s">
        <v>194</v>
      </c>
      <c r="I107" s="1">
        <f>SUM(I97:I106)</f>
        <v>444855</v>
      </c>
      <c r="J107" s="1" t="s">
        <v>596</v>
      </c>
      <c r="K107" s="1" t="s">
        <v>194</v>
      </c>
      <c r="L107" s="1">
        <f>ROUND(I107/2366889*100,2)</f>
        <v>18.79</v>
      </c>
      <c r="M107" s="1" t="s">
        <v>595</v>
      </c>
    </row>
    <row r="108" spans="1:13" x14ac:dyDescent="0.3">
      <c r="A108" s="64" t="s">
        <v>181</v>
      </c>
      <c r="B108" s="1" t="s">
        <v>182</v>
      </c>
      <c r="C108" s="1">
        <v>2015</v>
      </c>
      <c r="D108" s="1" t="s">
        <v>381</v>
      </c>
      <c r="E108" s="1" t="s">
        <v>416</v>
      </c>
      <c r="F108" s="1" t="s">
        <v>261</v>
      </c>
      <c r="G108" s="1">
        <v>2014</v>
      </c>
      <c r="H108" s="1" t="s">
        <v>194</v>
      </c>
      <c r="I108" s="1">
        <v>86720</v>
      </c>
      <c r="J108" s="1" t="s">
        <v>596</v>
      </c>
      <c r="K108" s="1" t="s">
        <v>194</v>
      </c>
      <c r="L108" s="1">
        <f>ROUND(I108/2734427*100,2)</f>
        <v>3.17</v>
      </c>
    </row>
    <row r="109" spans="1:13" x14ac:dyDescent="0.3">
      <c r="A109" s="64" t="s">
        <v>181</v>
      </c>
      <c r="B109" s="1" t="s">
        <v>182</v>
      </c>
      <c r="C109" s="1">
        <v>2015</v>
      </c>
      <c r="D109" s="1" t="s">
        <v>381</v>
      </c>
      <c r="E109" s="1" t="s">
        <v>430</v>
      </c>
      <c r="F109" s="1" t="s">
        <v>261</v>
      </c>
      <c r="G109" s="1">
        <v>2014</v>
      </c>
      <c r="H109" s="1" t="s">
        <v>194</v>
      </c>
      <c r="I109" s="1">
        <v>83050</v>
      </c>
      <c r="J109" s="1" t="s">
        <v>596</v>
      </c>
      <c r="K109" s="1" t="s">
        <v>194</v>
      </c>
      <c r="L109" s="1">
        <f t="shared" ref="L109:L117" si="7">ROUND(I109/2734427*100,2)</f>
        <v>3.04</v>
      </c>
    </row>
    <row r="110" spans="1:13" x14ac:dyDescent="0.3">
      <c r="A110" s="64" t="s">
        <v>181</v>
      </c>
      <c r="B110" s="1" t="s">
        <v>182</v>
      </c>
      <c r="C110" s="1">
        <v>2015</v>
      </c>
      <c r="D110" s="1" t="s">
        <v>381</v>
      </c>
      <c r="E110" s="1" t="s">
        <v>431</v>
      </c>
      <c r="F110" s="1" t="s">
        <v>261</v>
      </c>
      <c r="G110" s="1">
        <v>2014</v>
      </c>
      <c r="H110" s="1" t="s">
        <v>194</v>
      </c>
      <c r="I110" s="1">
        <v>68762</v>
      </c>
      <c r="J110" s="1" t="s">
        <v>596</v>
      </c>
      <c r="K110" s="1" t="s">
        <v>194</v>
      </c>
      <c r="L110" s="1">
        <f t="shared" si="7"/>
        <v>2.5099999999999998</v>
      </c>
    </row>
    <row r="111" spans="1:13" x14ac:dyDescent="0.3">
      <c r="A111" s="64" t="s">
        <v>181</v>
      </c>
      <c r="B111" s="1" t="s">
        <v>182</v>
      </c>
      <c r="C111" s="1">
        <v>2015</v>
      </c>
      <c r="D111" s="1" t="s">
        <v>381</v>
      </c>
      <c r="E111" s="1" t="s">
        <v>273</v>
      </c>
      <c r="F111" s="1" t="s">
        <v>261</v>
      </c>
      <c r="G111" s="1">
        <v>2014</v>
      </c>
      <c r="H111" s="1" t="s">
        <v>194</v>
      </c>
      <c r="I111" s="1">
        <v>66708</v>
      </c>
      <c r="J111" s="1" t="s">
        <v>596</v>
      </c>
      <c r="K111" s="1" t="s">
        <v>194</v>
      </c>
      <c r="L111" s="1">
        <f t="shared" si="7"/>
        <v>2.44</v>
      </c>
    </row>
    <row r="112" spans="1:13" x14ac:dyDescent="0.3">
      <c r="A112" s="64" t="s">
        <v>181</v>
      </c>
      <c r="B112" s="1" t="s">
        <v>182</v>
      </c>
      <c r="C112" s="1">
        <v>2015</v>
      </c>
      <c r="D112" s="1" t="s">
        <v>381</v>
      </c>
      <c r="E112" s="1" t="s">
        <v>256</v>
      </c>
      <c r="F112" s="1" t="s">
        <v>263</v>
      </c>
      <c r="G112" s="1">
        <v>2014</v>
      </c>
      <c r="H112" s="1" t="s">
        <v>194</v>
      </c>
      <c r="I112" s="1">
        <v>32495</v>
      </c>
      <c r="J112" s="1" t="s">
        <v>596</v>
      </c>
      <c r="K112" s="1" t="s">
        <v>194</v>
      </c>
      <c r="L112" s="1">
        <f t="shared" si="7"/>
        <v>1.19</v>
      </c>
    </row>
    <row r="113" spans="1:12" x14ac:dyDescent="0.3">
      <c r="A113" s="64" t="s">
        <v>181</v>
      </c>
      <c r="B113" s="1" t="s">
        <v>182</v>
      </c>
      <c r="C113" s="1">
        <v>2015</v>
      </c>
      <c r="D113" s="1" t="s">
        <v>381</v>
      </c>
      <c r="E113" s="1" t="s">
        <v>276</v>
      </c>
      <c r="F113" s="1" t="s">
        <v>277</v>
      </c>
      <c r="G113" s="1">
        <v>2014</v>
      </c>
      <c r="H113" s="1" t="s">
        <v>194</v>
      </c>
      <c r="I113" s="1">
        <v>24270</v>
      </c>
      <c r="J113" s="1" t="s">
        <v>596</v>
      </c>
      <c r="K113" s="1" t="s">
        <v>194</v>
      </c>
      <c r="L113" s="1">
        <f t="shared" si="7"/>
        <v>0.89</v>
      </c>
    </row>
    <row r="114" spans="1:12" x14ac:dyDescent="0.3">
      <c r="A114" s="64" t="s">
        <v>181</v>
      </c>
      <c r="B114" s="1" t="s">
        <v>182</v>
      </c>
      <c r="C114" s="1">
        <v>2015</v>
      </c>
      <c r="D114" s="1" t="s">
        <v>381</v>
      </c>
      <c r="E114" s="1" t="s">
        <v>418</v>
      </c>
      <c r="F114" s="1" t="s">
        <v>277</v>
      </c>
      <c r="G114" s="1">
        <v>2014</v>
      </c>
      <c r="H114" s="1" t="s">
        <v>194</v>
      </c>
      <c r="I114" s="1">
        <v>22235</v>
      </c>
      <c r="J114" s="1" t="s">
        <v>596</v>
      </c>
      <c r="K114" s="1" t="s">
        <v>194</v>
      </c>
      <c r="L114" s="1">
        <f t="shared" si="7"/>
        <v>0.81</v>
      </c>
    </row>
    <row r="115" spans="1:12" x14ac:dyDescent="0.3">
      <c r="A115" s="64" t="s">
        <v>181</v>
      </c>
      <c r="B115" s="1" t="s">
        <v>182</v>
      </c>
      <c r="C115" s="1">
        <v>2015</v>
      </c>
      <c r="D115" s="1" t="s">
        <v>381</v>
      </c>
      <c r="E115" s="1" t="s">
        <v>432</v>
      </c>
      <c r="F115" s="1" t="s">
        <v>277</v>
      </c>
      <c r="G115" s="1">
        <v>2014</v>
      </c>
      <c r="H115" s="1" t="s">
        <v>194</v>
      </c>
      <c r="I115" s="1">
        <v>19809</v>
      </c>
      <c r="J115" s="1" t="s">
        <v>596</v>
      </c>
      <c r="K115" s="1" t="s">
        <v>194</v>
      </c>
      <c r="L115" s="1">
        <f t="shared" si="7"/>
        <v>0.72</v>
      </c>
    </row>
    <row r="116" spans="1:12" x14ac:dyDescent="0.3">
      <c r="A116" s="64" t="s">
        <v>181</v>
      </c>
      <c r="B116" s="1" t="s">
        <v>182</v>
      </c>
      <c r="C116" s="1">
        <v>2015</v>
      </c>
      <c r="D116" s="1" t="s">
        <v>381</v>
      </c>
      <c r="E116" s="1" t="s">
        <v>428</v>
      </c>
      <c r="F116" s="1" t="s">
        <v>261</v>
      </c>
      <c r="G116" s="1">
        <v>2014</v>
      </c>
      <c r="H116" s="1" t="s">
        <v>194</v>
      </c>
      <c r="I116" s="1">
        <v>18934</v>
      </c>
      <c r="J116" s="1" t="s">
        <v>596</v>
      </c>
      <c r="K116" s="1" t="s">
        <v>194</v>
      </c>
      <c r="L116" s="1">
        <f t="shared" si="7"/>
        <v>0.69</v>
      </c>
    </row>
    <row r="117" spans="1:12" x14ac:dyDescent="0.3">
      <c r="A117" s="64" t="s">
        <v>181</v>
      </c>
      <c r="B117" s="1" t="s">
        <v>182</v>
      </c>
      <c r="C117" s="1">
        <v>2015</v>
      </c>
      <c r="D117" s="1" t="s">
        <v>381</v>
      </c>
      <c r="E117" s="1" t="s">
        <v>433</v>
      </c>
      <c r="F117" s="1" t="s">
        <v>426</v>
      </c>
      <c r="G117" s="1">
        <v>2014</v>
      </c>
      <c r="H117" s="1" t="s">
        <v>194</v>
      </c>
      <c r="I117" s="1">
        <v>13740</v>
      </c>
      <c r="J117" s="1" t="s">
        <v>596</v>
      </c>
      <c r="K117" s="1" t="s">
        <v>194</v>
      </c>
      <c r="L117" s="1">
        <f t="shared" si="7"/>
        <v>0.5</v>
      </c>
    </row>
    <row r="118" spans="1:12" x14ac:dyDescent="0.3">
      <c r="A118" s="64" t="s">
        <v>181</v>
      </c>
      <c r="B118" s="1" t="s">
        <v>182</v>
      </c>
      <c r="C118" s="1">
        <v>2015</v>
      </c>
      <c r="D118" s="1" t="s">
        <v>381</v>
      </c>
      <c r="E118" s="1" t="s">
        <v>243</v>
      </c>
      <c r="F118" s="1" t="s">
        <v>243</v>
      </c>
      <c r="G118" s="1">
        <v>2014</v>
      </c>
      <c r="H118" s="1" t="s">
        <v>194</v>
      </c>
      <c r="I118" s="1">
        <f>SUM(I108:I117)</f>
        <v>436723</v>
      </c>
      <c r="J118" s="1" t="s">
        <v>596</v>
      </c>
      <c r="K118" s="1" t="s">
        <v>194</v>
      </c>
      <c r="L118" s="1">
        <f>ROUND(I118/2734427*100,2)</f>
        <v>15.97</v>
      </c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9"/>
  <sheetViews>
    <sheetView topLeftCell="C1" workbookViewId="0">
      <pane ySplit="1" topLeftCell="A105" activePane="bottomLeft" state="frozen"/>
      <selection pane="bottomLeft" activeCell="J132" sqref="J132"/>
    </sheetView>
  </sheetViews>
  <sheetFormatPr defaultColWidth="8.77734375" defaultRowHeight="14.4" x14ac:dyDescent="0.3"/>
  <cols>
    <col min="1" max="16384" width="8.77734375" style="1"/>
  </cols>
  <sheetData>
    <row r="1" spans="1:17" x14ac:dyDescent="0.3">
      <c r="A1" s="4" t="s">
        <v>0</v>
      </c>
      <c r="B1" s="4" t="s">
        <v>27</v>
      </c>
      <c r="C1" s="4" t="s">
        <v>2</v>
      </c>
      <c r="D1" s="4" t="s">
        <v>148</v>
      </c>
      <c r="E1" s="4" t="s">
        <v>149</v>
      </c>
      <c r="F1" s="4" t="s">
        <v>24</v>
      </c>
      <c r="G1" s="4" t="s">
        <v>150</v>
      </c>
      <c r="H1" s="4" t="s">
        <v>151</v>
      </c>
      <c r="I1" s="4" t="s">
        <v>152</v>
      </c>
      <c r="J1" s="4" t="s">
        <v>135</v>
      </c>
      <c r="K1" s="4" t="s">
        <v>153</v>
      </c>
      <c r="L1" s="4" t="s">
        <v>179</v>
      </c>
      <c r="M1" s="4" t="s">
        <v>180</v>
      </c>
      <c r="N1" s="4" t="s">
        <v>175</v>
      </c>
      <c r="O1" s="4" t="s">
        <v>154</v>
      </c>
      <c r="P1" s="4" t="s">
        <v>155</v>
      </c>
      <c r="Q1" s="4" t="s">
        <v>96</v>
      </c>
    </row>
    <row r="2" spans="1:17" x14ac:dyDescent="0.3">
      <c r="A2" s="20" t="s">
        <v>181</v>
      </c>
      <c r="B2" s="1" t="s">
        <v>182</v>
      </c>
      <c r="C2" s="1">
        <v>1994</v>
      </c>
      <c r="D2" s="1">
        <v>1994</v>
      </c>
      <c r="E2" s="25">
        <v>1970</v>
      </c>
      <c r="F2" s="25" t="s">
        <v>183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2" t="s">
        <v>503</v>
      </c>
    </row>
    <row r="3" spans="1:17" x14ac:dyDescent="0.3">
      <c r="A3" s="20" t="s">
        <v>181</v>
      </c>
      <c r="B3" s="1" t="s">
        <v>182</v>
      </c>
      <c r="C3" s="1">
        <v>1994</v>
      </c>
      <c r="D3" s="1">
        <v>1994</v>
      </c>
      <c r="E3" s="25">
        <v>1978</v>
      </c>
      <c r="F3" s="25" t="s">
        <v>183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2" t="s">
        <v>504</v>
      </c>
    </row>
    <row r="4" spans="1:17" x14ac:dyDescent="0.3">
      <c r="A4" s="20" t="s">
        <v>181</v>
      </c>
      <c r="B4" s="1" t="s">
        <v>182</v>
      </c>
      <c r="C4" s="1">
        <v>1994</v>
      </c>
      <c r="D4" s="1">
        <v>1994</v>
      </c>
      <c r="E4" s="25" t="s">
        <v>194</v>
      </c>
      <c r="F4" s="25" t="s">
        <v>183</v>
      </c>
      <c r="G4" s="25" t="s">
        <v>287</v>
      </c>
      <c r="H4" s="25" t="s">
        <v>288</v>
      </c>
      <c r="I4" s="25" t="s">
        <v>289</v>
      </c>
      <c r="J4" s="1">
        <v>0.625</v>
      </c>
      <c r="K4" s="25" t="s">
        <v>290</v>
      </c>
      <c r="O4" s="1">
        <v>7.5</v>
      </c>
      <c r="P4" s="1" t="s">
        <v>295</v>
      </c>
    </row>
    <row r="5" spans="1:17" x14ac:dyDescent="0.3">
      <c r="A5" s="20" t="s">
        <v>181</v>
      </c>
      <c r="B5" s="1" t="s">
        <v>182</v>
      </c>
      <c r="C5" s="1">
        <v>1994</v>
      </c>
      <c r="D5" s="1">
        <v>1994</v>
      </c>
      <c r="E5" s="25" t="s">
        <v>194</v>
      </c>
      <c r="F5" s="25" t="s">
        <v>183</v>
      </c>
      <c r="G5" s="25" t="s">
        <v>287</v>
      </c>
      <c r="H5" s="25" t="s">
        <v>288</v>
      </c>
      <c r="I5" s="25" t="s">
        <v>289</v>
      </c>
      <c r="J5" s="1">
        <v>0.75</v>
      </c>
      <c r="K5" s="25" t="s">
        <v>290</v>
      </c>
      <c r="O5" s="1">
        <v>11.25</v>
      </c>
      <c r="P5" s="1" t="s">
        <v>295</v>
      </c>
    </row>
    <row r="6" spans="1:17" x14ac:dyDescent="0.3">
      <c r="A6" s="20" t="s">
        <v>181</v>
      </c>
      <c r="B6" s="1" t="s">
        <v>182</v>
      </c>
      <c r="C6" s="1">
        <v>1994</v>
      </c>
      <c r="D6" s="1">
        <v>1994</v>
      </c>
      <c r="E6" s="25" t="s">
        <v>194</v>
      </c>
      <c r="F6" s="25" t="s">
        <v>183</v>
      </c>
      <c r="G6" s="25" t="s">
        <v>287</v>
      </c>
      <c r="H6" s="25" t="s">
        <v>288</v>
      </c>
      <c r="I6" s="25" t="s">
        <v>289</v>
      </c>
      <c r="J6" s="25">
        <v>1</v>
      </c>
      <c r="K6" s="25" t="s">
        <v>290</v>
      </c>
      <c r="O6" s="1">
        <v>18.75</v>
      </c>
      <c r="P6" s="1" t="s">
        <v>295</v>
      </c>
    </row>
    <row r="7" spans="1:17" x14ac:dyDescent="0.3">
      <c r="A7" s="20" t="s">
        <v>181</v>
      </c>
      <c r="B7" s="1" t="s">
        <v>182</v>
      </c>
      <c r="C7" s="1">
        <v>1994</v>
      </c>
      <c r="D7" s="1">
        <v>1994</v>
      </c>
      <c r="E7" s="25" t="s">
        <v>194</v>
      </c>
      <c r="F7" s="25" t="s">
        <v>183</v>
      </c>
      <c r="G7" s="25" t="s">
        <v>287</v>
      </c>
      <c r="H7" s="25" t="s">
        <v>288</v>
      </c>
      <c r="I7" s="25" t="s">
        <v>289</v>
      </c>
      <c r="J7" s="25">
        <v>1.25</v>
      </c>
      <c r="K7" s="25" t="s">
        <v>290</v>
      </c>
      <c r="O7" s="1">
        <v>28.25</v>
      </c>
      <c r="P7" s="1" t="s">
        <v>295</v>
      </c>
    </row>
    <row r="8" spans="1:17" x14ac:dyDescent="0.3">
      <c r="A8" s="20" t="s">
        <v>181</v>
      </c>
      <c r="B8" s="1" t="s">
        <v>182</v>
      </c>
      <c r="C8" s="1">
        <v>1994</v>
      </c>
      <c r="D8" s="1">
        <v>1994</v>
      </c>
      <c r="E8" s="25" t="s">
        <v>194</v>
      </c>
      <c r="F8" s="25" t="s">
        <v>183</v>
      </c>
      <c r="G8" s="25" t="s">
        <v>287</v>
      </c>
      <c r="H8" s="25" t="s">
        <v>288</v>
      </c>
      <c r="I8" s="25" t="s">
        <v>289</v>
      </c>
      <c r="J8" s="25">
        <v>1.5</v>
      </c>
      <c r="K8" s="25" t="s">
        <v>290</v>
      </c>
      <c r="O8" s="1">
        <v>37.5</v>
      </c>
      <c r="P8" s="1" t="s">
        <v>295</v>
      </c>
    </row>
    <row r="9" spans="1:17" x14ac:dyDescent="0.3">
      <c r="A9" s="20" t="s">
        <v>181</v>
      </c>
      <c r="B9" s="1" t="s">
        <v>182</v>
      </c>
      <c r="C9" s="1">
        <v>1994</v>
      </c>
      <c r="D9" s="1">
        <v>1994</v>
      </c>
      <c r="E9" s="25" t="s">
        <v>194</v>
      </c>
      <c r="F9" s="25" t="s">
        <v>183</v>
      </c>
      <c r="G9" s="25" t="s">
        <v>287</v>
      </c>
      <c r="H9" s="25" t="s">
        <v>288</v>
      </c>
      <c r="I9" s="25" t="s">
        <v>289</v>
      </c>
      <c r="J9" s="25">
        <v>2</v>
      </c>
      <c r="K9" s="25" t="s">
        <v>290</v>
      </c>
      <c r="O9" s="1">
        <v>60</v>
      </c>
      <c r="P9" s="1" t="s">
        <v>295</v>
      </c>
    </row>
    <row r="10" spans="1:17" x14ac:dyDescent="0.3">
      <c r="A10" s="20" t="s">
        <v>181</v>
      </c>
      <c r="B10" s="1" t="s">
        <v>182</v>
      </c>
      <c r="C10" s="1">
        <v>1994</v>
      </c>
      <c r="D10" s="1">
        <v>1994</v>
      </c>
      <c r="E10" s="25" t="s">
        <v>194</v>
      </c>
      <c r="F10" s="25" t="s">
        <v>183</v>
      </c>
      <c r="G10" s="25" t="s">
        <v>287</v>
      </c>
      <c r="H10" s="25" t="s">
        <v>288</v>
      </c>
      <c r="I10" s="25" t="s">
        <v>289</v>
      </c>
      <c r="J10" s="25">
        <v>3</v>
      </c>
      <c r="K10" s="25" t="s">
        <v>290</v>
      </c>
      <c r="N10" s="1" t="s">
        <v>291</v>
      </c>
      <c r="O10" s="1">
        <v>112.5</v>
      </c>
      <c r="P10" s="1" t="s">
        <v>295</v>
      </c>
    </row>
    <row r="11" spans="1:17" x14ac:dyDescent="0.3">
      <c r="A11" s="20" t="s">
        <v>181</v>
      </c>
      <c r="B11" s="1" t="s">
        <v>182</v>
      </c>
      <c r="C11" s="1">
        <v>1994</v>
      </c>
      <c r="D11" s="1">
        <v>1994</v>
      </c>
      <c r="E11" s="25" t="s">
        <v>194</v>
      </c>
      <c r="F11" s="25" t="s">
        <v>183</v>
      </c>
      <c r="G11" s="25" t="s">
        <v>287</v>
      </c>
      <c r="H11" s="25" t="s">
        <v>288</v>
      </c>
      <c r="I11" s="25" t="s">
        <v>289</v>
      </c>
      <c r="J11" s="25">
        <v>3</v>
      </c>
      <c r="K11" s="25" t="s">
        <v>290</v>
      </c>
      <c r="N11" s="1" t="s">
        <v>292</v>
      </c>
      <c r="O11" s="1">
        <v>120</v>
      </c>
      <c r="P11" s="1" t="s">
        <v>295</v>
      </c>
    </row>
    <row r="12" spans="1:17" x14ac:dyDescent="0.3">
      <c r="A12" s="20" t="s">
        <v>181</v>
      </c>
      <c r="B12" s="1" t="s">
        <v>182</v>
      </c>
      <c r="C12" s="1">
        <v>1994</v>
      </c>
      <c r="D12" s="1">
        <v>1994</v>
      </c>
      <c r="E12" s="25" t="s">
        <v>194</v>
      </c>
      <c r="F12" s="25" t="s">
        <v>183</v>
      </c>
      <c r="G12" s="25" t="s">
        <v>287</v>
      </c>
      <c r="H12" s="25" t="s">
        <v>288</v>
      </c>
      <c r="I12" s="25" t="s">
        <v>289</v>
      </c>
      <c r="J12" s="25">
        <v>3</v>
      </c>
      <c r="K12" s="25" t="s">
        <v>290</v>
      </c>
      <c r="N12" s="1" t="s">
        <v>293</v>
      </c>
      <c r="O12" s="1">
        <v>131.25</v>
      </c>
      <c r="P12" s="1" t="s">
        <v>295</v>
      </c>
    </row>
    <row r="13" spans="1:17" x14ac:dyDescent="0.3">
      <c r="A13" s="20" t="s">
        <v>181</v>
      </c>
      <c r="B13" s="1" t="s">
        <v>182</v>
      </c>
      <c r="C13" s="1">
        <v>1994</v>
      </c>
      <c r="D13" s="1">
        <v>1994</v>
      </c>
      <c r="E13" s="25" t="s">
        <v>194</v>
      </c>
      <c r="F13" s="25" t="s">
        <v>183</v>
      </c>
      <c r="G13" s="25" t="s">
        <v>287</v>
      </c>
      <c r="H13" s="25" t="s">
        <v>288</v>
      </c>
      <c r="I13" s="25" t="s">
        <v>289</v>
      </c>
      <c r="J13" s="25">
        <v>4</v>
      </c>
      <c r="K13" s="25" t="s">
        <v>290</v>
      </c>
      <c r="N13" s="1" t="s">
        <v>294</v>
      </c>
      <c r="O13" s="1">
        <v>187.5</v>
      </c>
      <c r="P13" s="1" t="s">
        <v>295</v>
      </c>
    </row>
    <row r="14" spans="1:17" x14ac:dyDescent="0.3">
      <c r="A14" s="20" t="s">
        <v>181</v>
      </c>
      <c r="B14" s="1" t="s">
        <v>182</v>
      </c>
      <c r="C14" s="1">
        <v>1994</v>
      </c>
      <c r="D14" s="1">
        <v>1994</v>
      </c>
      <c r="E14" s="25" t="s">
        <v>194</v>
      </c>
      <c r="F14" s="25" t="s">
        <v>183</v>
      </c>
      <c r="G14" s="25" t="s">
        <v>287</v>
      </c>
      <c r="H14" s="25" t="s">
        <v>288</v>
      </c>
      <c r="I14" s="25" t="s">
        <v>289</v>
      </c>
      <c r="J14" s="25">
        <v>4</v>
      </c>
      <c r="K14" s="25" t="s">
        <v>290</v>
      </c>
      <c r="N14" s="1" t="s">
        <v>293</v>
      </c>
      <c r="O14" s="1">
        <v>225</v>
      </c>
      <c r="P14" s="1" t="s">
        <v>295</v>
      </c>
    </row>
    <row r="15" spans="1:17" x14ac:dyDescent="0.3">
      <c r="A15" s="20" t="s">
        <v>181</v>
      </c>
      <c r="B15" s="1" t="s">
        <v>182</v>
      </c>
      <c r="C15" s="1">
        <v>1994</v>
      </c>
      <c r="D15" s="1">
        <v>1994</v>
      </c>
      <c r="E15" s="25" t="s">
        <v>194</v>
      </c>
      <c r="F15" s="25" t="s">
        <v>183</v>
      </c>
      <c r="G15" s="25" t="s">
        <v>287</v>
      </c>
      <c r="H15" s="25" t="s">
        <v>288</v>
      </c>
      <c r="I15" s="25" t="s">
        <v>289</v>
      </c>
      <c r="J15" s="25">
        <v>6</v>
      </c>
      <c r="K15" s="25" t="s">
        <v>290</v>
      </c>
      <c r="N15" s="1" t="s">
        <v>294</v>
      </c>
      <c r="O15" s="1">
        <v>375</v>
      </c>
      <c r="P15" s="1" t="s">
        <v>295</v>
      </c>
    </row>
    <row r="16" spans="1:17" x14ac:dyDescent="0.3">
      <c r="A16" s="20" t="s">
        <v>181</v>
      </c>
      <c r="B16" s="1" t="s">
        <v>182</v>
      </c>
      <c r="C16" s="1">
        <v>1994</v>
      </c>
      <c r="D16" s="1">
        <v>1994</v>
      </c>
      <c r="E16" s="25" t="s">
        <v>194</v>
      </c>
      <c r="F16" s="25" t="s">
        <v>183</v>
      </c>
      <c r="G16" s="25" t="s">
        <v>287</v>
      </c>
      <c r="H16" s="25" t="s">
        <v>288</v>
      </c>
      <c r="I16" s="25" t="s">
        <v>289</v>
      </c>
      <c r="J16" s="25">
        <v>6</v>
      </c>
      <c r="K16" s="25" t="s">
        <v>290</v>
      </c>
      <c r="N16" s="1" t="s">
        <v>293</v>
      </c>
      <c r="O16" s="1">
        <v>468.75</v>
      </c>
      <c r="P16" s="1" t="s">
        <v>295</v>
      </c>
    </row>
    <row r="17" spans="1:16" x14ac:dyDescent="0.3">
      <c r="A17" s="20" t="s">
        <v>181</v>
      </c>
      <c r="B17" s="1" t="s">
        <v>182</v>
      </c>
      <c r="C17" s="1">
        <v>1994</v>
      </c>
      <c r="D17" s="1">
        <v>1994</v>
      </c>
      <c r="E17" s="25" t="s">
        <v>194</v>
      </c>
      <c r="F17" s="25" t="s">
        <v>183</v>
      </c>
      <c r="G17" s="25" t="s">
        <v>287</v>
      </c>
      <c r="H17" s="25" t="s">
        <v>288</v>
      </c>
      <c r="I17" s="25" t="s">
        <v>289</v>
      </c>
      <c r="J17" s="25">
        <v>8</v>
      </c>
      <c r="K17" s="25" t="s">
        <v>290</v>
      </c>
      <c r="N17" s="1" t="s">
        <v>292</v>
      </c>
      <c r="O17" s="1">
        <v>600</v>
      </c>
      <c r="P17" s="1" t="s">
        <v>295</v>
      </c>
    </row>
    <row r="18" spans="1:16" x14ac:dyDescent="0.3">
      <c r="A18" s="20" t="s">
        <v>181</v>
      </c>
      <c r="B18" s="1" t="s">
        <v>182</v>
      </c>
      <c r="C18" s="1">
        <v>1994</v>
      </c>
      <c r="D18" s="1">
        <v>1994</v>
      </c>
      <c r="E18" s="25" t="s">
        <v>194</v>
      </c>
      <c r="F18" s="25" t="s">
        <v>183</v>
      </c>
      <c r="G18" s="25" t="s">
        <v>287</v>
      </c>
      <c r="H18" s="25" t="s">
        <v>288</v>
      </c>
      <c r="I18" s="25" t="s">
        <v>289</v>
      </c>
      <c r="J18" s="1">
        <v>8</v>
      </c>
      <c r="K18" s="25" t="s">
        <v>290</v>
      </c>
      <c r="N18" s="1" t="s">
        <v>293</v>
      </c>
      <c r="O18" s="1">
        <v>675</v>
      </c>
      <c r="P18" s="1" t="s">
        <v>295</v>
      </c>
    </row>
    <row r="19" spans="1:16" x14ac:dyDescent="0.3">
      <c r="A19" s="20" t="s">
        <v>181</v>
      </c>
      <c r="B19" s="1" t="s">
        <v>182</v>
      </c>
      <c r="C19" s="1">
        <v>1994</v>
      </c>
      <c r="D19" s="1">
        <v>1994</v>
      </c>
      <c r="E19" s="25" t="s">
        <v>194</v>
      </c>
      <c r="F19" s="25" t="s">
        <v>183</v>
      </c>
      <c r="G19" s="25" t="s">
        <v>287</v>
      </c>
      <c r="H19" s="1" t="s">
        <v>296</v>
      </c>
      <c r="I19" s="1" t="s">
        <v>297</v>
      </c>
      <c r="J19" s="1" t="s">
        <v>299</v>
      </c>
      <c r="K19" s="1" t="s">
        <v>298</v>
      </c>
      <c r="N19" s="1" t="s">
        <v>301</v>
      </c>
      <c r="O19" s="1">
        <v>1.5</v>
      </c>
      <c r="P19" s="1" t="s">
        <v>305</v>
      </c>
    </row>
    <row r="20" spans="1:16" x14ac:dyDescent="0.3">
      <c r="A20" s="20" t="s">
        <v>181</v>
      </c>
      <c r="B20" s="1" t="s">
        <v>182</v>
      </c>
      <c r="C20" s="1">
        <v>1994</v>
      </c>
      <c r="D20" s="1">
        <v>1994</v>
      </c>
      <c r="E20" s="25" t="s">
        <v>194</v>
      </c>
      <c r="F20" s="25" t="s">
        <v>183</v>
      </c>
      <c r="G20" s="25" t="s">
        <v>287</v>
      </c>
      <c r="H20" s="1" t="s">
        <v>296</v>
      </c>
      <c r="I20" s="1" t="s">
        <v>297</v>
      </c>
      <c r="J20" s="1" t="s">
        <v>303</v>
      </c>
      <c r="K20" s="1" t="s">
        <v>298</v>
      </c>
      <c r="N20" s="1" t="s">
        <v>302</v>
      </c>
      <c r="O20" s="1">
        <v>2.4</v>
      </c>
      <c r="P20" s="1" t="s">
        <v>305</v>
      </c>
    </row>
    <row r="21" spans="1:16" x14ac:dyDescent="0.3">
      <c r="A21" s="20" t="s">
        <v>181</v>
      </c>
      <c r="B21" s="1" t="s">
        <v>182</v>
      </c>
      <c r="C21" s="1">
        <v>1994</v>
      </c>
      <c r="D21" s="1">
        <v>1994</v>
      </c>
      <c r="E21" s="25" t="s">
        <v>194</v>
      </c>
      <c r="F21" s="25" t="s">
        <v>183</v>
      </c>
      <c r="G21" s="25" t="s">
        <v>287</v>
      </c>
      <c r="H21" s="1" t="s">
        <v>296</v>
      </c>
      <c r="I21" s="1" t="s">
        <v>297</v>
      </c>
      <c r="J21" s="1" t="s">
        <v>533</v>
      </c>
      <c r="K21" s="1" t="s">
        <v>298</v>
      </c>
      <c r="N21" s="1" t="s">
        <v>301</v>
      </c>
      <c r="O21" s="1">
        <v>1.4</v>
      </c>
      <c r="P21" s="1" t="s">
        <v>305</v>
      </c>
    </row>
    <row r="22" spans="1:16" x14ac:dyDescent="0.3">
      <c r="A22" s="20" t="s">
        <v>181</v>
      </c>
      <c r="B22" s="1" t="s">
        <v>182</v>
      </c>
      <c r="C22" s="1">
        <v>1994</v>
      </c>
      <c r="D22" s="1">
        <v>1994</v>
      </c>
      <c r="E22" s="25" t="s">
        <v>194</v>
      </c>
      <c r="F22" s="25" t="s">
        <v>183</v>
      </c>
      <c r="G22" s="25" t="s">
        <v>287</v>
      </c>
      <c r="H22" s="1" t="s">
        <v>296</v>
      </c>
      <c r="I22" s="1" t="s">
        <v>297</v>
      </c>
      <c r="J22" s="1" t="s">
        <v>533</v>
      </c>
      <c r="K22" s="1" t="s">
        <v>298</v>
      </c>
      <c r="N22" s="1" t="s">
        <v>302</v>
      </c>
      <c r="O22" s="1">
        <v>2.2999999999999998</v>
      </c>
      <c r="P22" s="1" t="s">
        <v>305</v>
      </c>
    </row>
    <row r="23" spans="1:16" x14ac:dyDescent="0.3">
      <c r="A23" s="20" t="s">
        <v>181</v>
      </c>
      <c r="B23" s="1" t="s">
        <v>182</v>
      </c>
      <c r="C23" s="1">
        <v>1994</v>
      </c>
      <c r="D23" s="1">
        <v>1994</v>
      </c>
      <c r="E23" s="25" t="s">
        <v>194</v>
      </c>
      <c r="F23" s="25" t="s">
        <v>183</v>
      </c>
      <c r="G23" s="25" t="s">
        <v>287</v>
      </c>
      <c r="H23" s="1" t="s">
        <v>296</v>
      </c>
      <c r="I23" s="1" t="s">
        <v>297</v>
      </c>
      <c r="J23" s="1" t="s">
        <v>300</v>
      </c>
      <c r="K23" s="1" t="s">
        <v>298</v>
      </c>
      <c r="N23" s="1" t="s">
        <v>301</v>
      </c>
      <c r="O23" s="1">
        <v>0.95</v>
      </c>
      <c r="P23" s="1" t="s">
        <v>305</v>
      </c>
    </row>
    <row r="24" spans="1:16" x14ac:dyDescent="0.3">
      <c r="A24" s="20" t="s">
        <v>181</v>
      </c>
      <c r="B24" s="1" t="s">
        <v>182</v>
      </c>
      <c r="C24" s="1">
        <v>1994</v>
      </c>
      <c r="D24" s="1">
        <v>1994</v>
      </c>
      <c r="E24" s="25" t="s">
        <v>194</v>
      </c>
      <c r="F24" s="25" t="s">
        <v>183</v>
      </c>
      <c r="G24" s="25" t="s">
        <v>287</v>
      </c>
      <c r="H24" s="1" t="s">
        <v>296</v>
      </c>
      <c r="I24" s="1" t="s">
        <v>297</v>
      </c>
      <c r="J24" s="1" t="s">
        <v>304</v>
      </c>
      <c r="K24" s="1" t="s">
        <v>298</v>
      </c>
      <c r="N24" s="1" t="s">
        <v>302</v>
      </c>
      <c r="O24" s="1">
        <v>1.85</v>
      </c>
      <c r="P24" s="1" t="s">
        <v>305</v>
      </c>
    </row>
    <row r="25" spans="1:16" x14ac:dyDescent="0.3">
      <c r="A25" s="20" t="s">
        <v>181</v>
      </c>
      <c r="B25" s="1" t="s">
        <v>182</v>
      </c>
      <c r="C25" s="1">
        <v>1994</v>
      </c>
      <c r="D25" s="1">
        <v>1994</v>
      </c>
      <c r="E25" s="25" t="s">
        <v>194</v>
      </c>
      <c r="F25" s="25" t="s">
        <v>183</v>
      </c>
      <c r="G25" s="1" t="s">
        <v>534</v>
      </c>
      <c r="H25" s="1" t="s">
        <v>306</v>
      </c>
      <c r="J25" s="1" t="s">
        <v>307</v>
      </c>
      <c r="O25" s="1">
        <v>47.25</v>
      </c>
      <c r="P25" s="1" t="s">
        <v>308</v>
      </c>
    </row>
    <row r="26" spans="1:16" x14ac:dyDescent="0.3">
      <c r="A26" s="20" t="s">
        <v>181</v>
      </c>
      <c r="B26" s="1" t="s">
        <v>182</v>
      </c>
      <c r="C26" s="1">
        <v>1994</v>
      </c>
      <c r="D26" s="1">
        <v>1994</v>
      </c>
      <c r="E26" s="25" t="s">
        <v>194</v>
      </c>
      <c r="F26" s="25" t="s">
        <v>183</v>
      </c>
      <c r="G26" s="1" t="s">
        <v>534</v>
      </c>
      <c r="H26" s="1" t="s">
        <v>306</v>
      </c>
      <c r="J26" s="1" t="s">
        <v>309</v>
      </c>
      <c r="O26" s="1">
        <v>9.6</v>
      </c>
      <c r="P26" s="1" t="s">
        <v>312</v>
      </c>
    </row>
    <row r="27" spans="1:16" x14ac:dyDescent="0.3">
      <c r="A27" s="20" t="s">
        <v>181</v>
      </c>
      <c r="B27" s="1" t="s">
        <v>182</v>
      </c>
      <c r="C27" s="1">
        <v>1994</v>
      </c>
      <c r="D27" s="1">
        <v>1994</v>
      </c>
      <c r="E27" s="25" t="s">
        <v>194</v>
      </c>
      <c r="F27" s="25" t="s">
        <v>183</v>
      </c>
      <c r="G27" s="1" t="s">
        <v>474</v>
      </c>
      <c r="H27" s="1" t="s">
        <v>310</v>
      </c>
      <c r="J27" s="1" t="s">
        <v>313</v>
      </c>
      <c r="O27" s="1">
        <v>165</v>
      </c>
      <c r="P27" s="1" t="s">
        <v>311</v>
      </c>
    </row>
    <row r="28" spans="1:16" x14ac:dyDescent="0.3">
      <c r="A28" s="20" t="s">
        <v>181</v>
      </c>
      <c r="B28" s="1" t="s">
        <v>182</v>
      </c>
      <c r="C28" s="1">
        <v>1994</v>
      </c>
      <c r="D28" s="1">
        <v>1994</v>
      </c>
      <c r="E28" s="25" t="s">
        <v>194</v>
      </c>
      <c r="F28" s="25" t="s">
        <v>183</v>
      </c>
      <c r="G28" s="1" t="s">
        <v>474</v>
      </c>
      <c r="H28" s="1" t="s">
        <v>310</v>
      </c>
      <c r="J28" s="1" t="s">
        <v>314</v>
      </c>
      <c r="N28" s="1" t="s">
        <v>315</v>
      </c>
      <c r="O28" s="1">
        <v>165</v>
      </c>
      <c r="P28" s="1" t="s">
        <v>311</v>
      </c>
    </row>
    <row r="29" spans="1:16" x14ac:dyDescent="0.3">
      <c r="A29" s="20" t="s">
        <v>181</v>
      </c>
      <c r="B29" s="1" t="s">
        <v>182</v>
      </c>
      <c r="C29" s="1">
        <v>1994</v>
      </c>
      <c r="D29" s="1">
        <v>1994</v>
      </c>
      <c r="E29" s="25" t="s">
        <v>194</v>
      </c>
      <c r="F29" s="25" t="s">
        <v>183</v>
      </c>
      <c r="G29" s="1" t="s">
        <v>474</v>
      </c>
      <c r="H29" s="1" t="s">
        <v>310</v>
      </c>
      <c r="J29" s="1" t="s">
        <v>314</v>
      </c>
      <c r="N29" s="1" t="s">
        <v>316</v>
      </c>
      <c r="O29" s="1">
        <v>0.22</v>
      </c>
      <c r="P29" s="1" t="s">
        <v>311</v>
      </c>
    </row>
    <row r="30" spans="1:16" x14ac:dyDescent="0.3">
      <c r="A30" s="20" t="s">
        <v>181</v>
      </c>
      <c r="B30" s="1" t="s">
        <v>182</v>
      </c>
      <c r="C30" s="1">
        <v>1994</v>
      </c>
      <c r="D30" s="1">
        <v>1994</v>
      </c>
      <c r="E30" s="25" t="s">
        <v>194</v>
      </c>
      <c r="F30" s="25" t="s">
        <v>183</v>
      </c>
      <c r="G30" s="1" t="s">
        <v>474</v>
      </c>
      <c r="H30" s="1" t="s">
        <v>310</v>
      </c>
      <c r="J30" s="1" t="s">
        <v>317</v>
      </c>
      <c r="O30" s="1">
        <v>165</v>
      </c>
      <c r="P30" s="1" t="s">
        <v>311</v>
      </c>
    </row>
    <row r="31" spans="1:16" x14ac:dyDescent="0.3">
      <c r="A31" s="20" t="s">
        <v>181</v>
      </c>
      <c r="B31" s="1" t="s">
        <v>182</v>
      </c>
      <c r="C31" s="1">
        <v>2003</v>
      </c>
      <c r="D31" s="1">
        <v>2003</v>
      </c>
      <c r="E31" s="25" t="s">
        <v>194</v>
      </c>
      <c r="F31" s="25" t="s">
        <v>183</v>
      </c>
      <c r="G31" s="25" t="s">
        <v>287</v>
      </c>
      <c r="H31" s="25" t="s">
        <v>288</v>
      </c>
      <c r="I31" s="25" t="s">
        <v>289</v>
      </c>
      <c r="J31" s="1">
        <v>0.625</v>
      </c>
      <c r="K31" s="25" t="s">
        <v>290</v>
      </c>
      <c r="O31" s="1">
        <v>9.5</v>
      </c>
      <c r="P31" s="1" t="s">
        <v>295</v>
      </c>
    </row>
    <row r="32" spans="1:16" x14ac:dyDescent="0.3">
      <c r="A32" s="20" t="s">
        <v>181</v>
      </c>
      <c r="B32" s="1" t="s">
        <v>182</v>
      </c>
      <c r="C32" s="1">
        <v>2003</v>
      </c>
      <c r="D32" s="1">
        <v>2003</v>
      </c>
      <c r="E32" s="25" t="s">
        <v>194</v>
      </c>
      <c r="F32" s="25" t="s">
        <v>183</v>
      </c>
      <c r="G32" s="25" t="s">
        <v>287</v>
      </c>
      <c r="H32" s="25" t="s">
        <v>288</v>
      </c>
      <c r="I32" s="25" t="s">
        <v>289</v>
      </c>
      <c r="J32" s="1">
        <v>0.75</v>
      </c>
      <c r="K32" s="25" t="s">
        <v>290</v>
      </c>
      <c r="O32" s="1">
        <v>14</v>
      </c>
      <c r="P32" s="1" t="s">
        <v>295</v>
      </c>
    </row>
    <row r="33" spans="1:16" x14ac:dyDescent="0.3">
      <c r="A33" s="20" t="s">
        <v>181</v>
      </c>
      <c r="B33" s="1" t="s">
        <v>182</v>
      </c>
      <c r="C33" s="1">
        <v>2003</v>
      </c>
      <c r="D33" s="1">
        <v>2003</v>
      </c>
      <c r="E33" s="25" t="s">
        <v>194</v>
      </c>
      <c r="F33" s="25" t="s">
        <v>183</v>
      </c>
      <c r="G33" s="25" t="s">
        <v>287</v>
      </c>
      <c r="H33" s="25" t="s">
        <v>288</v>
      </c>
      <c r="I33" s="25" t="s">
        <v>289</v>
      </c>
      <c r="J33" s="25">
        <v>1</v>
      </c>
      <c r="K33" s="25" t="s">
        <v>290</v>
      </c>
      <c r="O33" s="1">
        <v>23.5</v>
      </c>
      <c r="P33" s="1" t="s">
        <v>295</v>
      </c>
    </row>
    <row r="34" spans="1:16" x14ac:dyDescent="0.3">
      <c r="A34" s="20" t="s">
        <v>181</v>
      </c>
      <c r="B34" s="1" t="s">
        <v>182</v>
      </c>
      <c r="C34" s="1">
        <v>2003</v>
      </c>
      <c r="D34" s="1">
        <v>2003</v>
      </c>
      <c r="E34" s="25" t="s">
        <v>194</v>
      </c>
      <c r="F34" s="25" t="s">
        <v>183</v>
      </c>
      <c r="G34" s="25" t="s">
        <v>287</v>
      </c>
      <c r="H34" s="25" t="s">
        <v>288</v>
      </c>
      <c r="I34" s="25" t="s">
        <v>289</v>
      </c>
      <c r="J34" s="25">
        <v>1.25</v>
      </c>
      <c r="K34" s="25" t="s">
        <v>290</v>
      </c>
      <c r="O34" s="1">
        <v>36</v>
      </c>
      <c r="P34" s="1" t="s">
        <v>295</v>
      </c>
    </row>
    <row r="35" spans="1:16" x14ac:dyDescent="0.3">
      <c r="A35" s="20" t="s">
        <v>181</v>
      </c>
      <c r="B35" s="1" t="s">
        <v>182</v>
      </c>
      <c r="C35" s="1">
        <v>2003</v>
      </c>
      <c r="D35" s="1">
        <v>2003</v>
      </c>
      <c r="E35" s="25" t="s">
        <v>194</v>
      </c>
      <c r="F35" s="25" t="s">
        <v>183</v>
      </c>
      <c r="G35" s="25" t="s">
        <v>287</v>
      </c>
      <c r="H35" s="25" t="s">
        <v>288</v>
      </c>
      <c r="I35" s="25" t="s">
        <v>289</v>
      </c>
      <c r="J35" s="25">
        <v>1.5</v>
      </c>
      <c r="K35" s="25" t="s">
        <v>290</v>
      </c>
      <c r="O35" s="1">
        <v>47</v>
      </c>
      <c r="P35" s="1" t="s">
        <v>295</v>
      </c>
    </row>
    <row r="36" spans="1:16" x14ac:dyDescent="0.3">
      <c r="A36" s="20" t="s">
        <v>181</v>
      </c>
      <c r="B36" s="1" t="s">
        <v>182</v>
      </c>
      <c r="C36" s="1">
        <v>2003</v>
      </c>
      <c r="D36" s="1">
        <v>2003</v>
      </c>
      <c r="E36" s="25" t="s">
        <v>194</v>
      </c>
      <c r="F36" s="25" t="s">
        <v>183</v>
      </c>
      <c r="G36" s="25" t="s">
        <v>287</v>
      </c>
      <c r="H36" s="25" t="s">
        <v>288</v>
      </c>
      <c r="I36" s="25" t="s">
        <v>289</v>
      </c>
      <c r="J36" s="25">
        <v>2</v>
      </c>
      <c r="K36" s="25" t="s">
        <v>290</v>
      </c>
      <c r="O36" s="1">
        <v>76</v>
      </c>
      <c r="P36" s="1" t="s">
        <v>295</v>
      </c>
    </row>
    <row r="37" spans="1:16" x14ac:dyDescent="0.3">
      <c r="A37" s="20" t="s">
        <v>181</v>
      </c>
      <c r="B37" s="1" t="s">
        <v>182</v>
      </c>
      <c r="C37" s="1">
        <v>2003</v>
      </c>
      <c r="D37" s="1">
        <v>2003</v>
      </c>
      <c r="E37" s="25" t="s">
        <v>194</v>
      </c>
      <c r="F37" s="25" t="s">
        <v>183</v>
      </c>
      <c r="G37" s="25" t="s">
        <v>287</v>
      </c>
      <c r="H37" s="25" t="s">
        <v>288</v>
      </c>
      <c r="I37" s="25" t="s">
        <v>289</v>
      </c>
      <c r="J37" s="25">
        <v>3</v>
      </c>
      <c r="K37" s="25" t="s">
        <v>290</v>
      </c>
      <c r="N37" s="1" t="s">
        <v>291</v>
      </c>
      <c r="O37" s="1">
        <v>142</v>
      </c>
      <c r="P37" s="1" t="s">
        <v>295</v>
      </c>
    </row>
    <row r="38" spans="1:16" x14ac:dyDescent="0.3">
      <c r="A38" s="20" t="s">
        <v>181</v>
      </c>
      <c r="B38" s="1" t="s">
        <v>182</v>
      </c>
      <c r="C38" s="1">
        <v>2003</v>
      </c>
      <c r="D38" s="1">
        <v>2003</v>
      </c>
      <c r="E38" s="25" t="s">
        <v>194</v>
      </c>
      <c r="F38" s="25" t="s">
        <v>183</v>
      </c>
      <c r="G38" s="25" t="s">
        <v>287</v>
      </c>
      <c r="H38" s="25" t="s">
        <v>288</v>
      </c>
      <c r="I38" s="25" t="s">
        <v>289</v>
      </c>
      <c r="J38" s="25">
        <v>3</v>
      </c>
      <c r="K38" s="25" t="s">
        <v>290</v>
      </c>
      <c r="N38" s="1" t="s">
        <v>292</v>
      </c>
      <c r="O38" s="1">
        <v>152</v>
      </c>
      <c r="P38" s="1" t="s">
        <v>295</v>
      </c>
    </row>
    <row r="39" spans="1:16" x14ac:dyDescent="0.3">
      <c r="A39" s="20" t="s">
        <v>181</v>
      </c>
      <c r="B39" s="1" t="s">
        <v>182</v>
      </c>
      <c r="C39" s="1">
        <v>2003</v>
      </c>
      <c r="D39" s="1">
        <v>2003</v>
      </c>
      <c r="E39" s="25" t="s">
        <v>194</v>
      </c>
      <c r="F39" s="25" t="s">
        <v>183</v>
      </c>
      <c r="G39" s="25" t="s">
        <v>287</v>
      </c>
      <c r="H39" s="25" t="s">
        <v>288</v>
      </c>
      <c r="I39" s="25" t="s">
        <v>289</v>
      </c>
      <c r="J39" s="25">
        <v>3</v>
      </c>
      <c r="K39" s="25" t="s">
        <v>290</v>
      </c>
      <c r="N39" s="1" t="s">
        <v>293</v>
      </c>
      <c r="O39" s="1">
        <v>166</v>
      </c>
      <c r="P39" s="1" t="s">
        <v>295</v>
      </c>
    </row>
    <row r="40" spans="1:16" x14ac:dyDescent="0.3">
      <c r="A40" s="20" t="s">
        <v>181</v>
      </c>
      <c r="B40" s="1" t="s">
        <v>182</v>
      </c>
      <c r="C40" s="1">
        <v>2003</v>
      </c>
      <c r="D40" s="1">
        <v>2003</v>
      </c>
      <c r="E40" s="25" t="s">
        <v>194</v>
      </c>
      <c r="F40" s="25" t="s">
        <v>183</v>
      </c>
      <c r="G40" s="25" t="s">
        <v>287</v>
      </c>
      <c r="H40" s="25" t="s">
        <v>288</v>
      </c>
      <c r="I40" s="25" t="s">
        <v>289</v>
      </c>
      <c r="J40" s="25">
        <v>4</v>
      </c>
      <c r="K40" s="25" t="s">
        <v>290</v>
      </c>
      <c r="N40" s="1" t="s">
        <v>294</v>
      </c>
      <c r="O40" s="1">
        <v>237</v>
      </c>
      <c r="P40" s="1" t="s">
        <v>295</v>
      </c>
    </row>
    <row r="41" spans="1:16" x14ac:dyDescent="0.3">
      <c r="A41" s="20" t="s">
        <v>181</v>
      </c>
      <c r="B41" s="1" t="s">
        <v>182</v>
      </c>
      <c r="C41" s="1">
        <v>2003</v>
      </c>
      <c r="D41" s="1">
        <v>2003</v>
      </c>
      <c r="E41" s="25" t="s">
        <v>194</v>
      </c>
      <c r="F41" s="25" t="s">
        <v>183</v>
      </c>
      <c r="G41" s="25" t="s">
        <v>287</v>
      </c>
      <c r="H41" s="25" t="s">
        <v>288</v>
      </c>
      <c r="I41" s="25" t="s">
        <v>289</v>
      </c>
      <c r="J41" s="25">
        <v>4</v>
      </c>
      <c r="K41" s="25" t="s">
        <v>290</v>
      </c>
      <c r="N41" s="1" t="s">
        <v>293</v>
      </c>
      <c r="O41" s="1">
        <v>285</v>
      </c>
      <c r="P41" s="1" t="s">
        <v>295</v>
      </c>
    </row>
    <row r="42" spans="1:16" x14ac:dyDescent="0.3">
      <c r="A42" s="20" t="s">
        <v>181</v>
      </c>
      <c r="B42" s="1" t="s">
        <v>182</v>
      </c>
      <c r="C42" s="1">
        <v>2003</v>
      </c>
      <c r="D42" s="1">
        <v>2003</v>
      </c>
      <c r="E42" s="25" t="s">
        <v>194</v>
      </c>
      <c r="F42" s="25" t="s">
        <v>183</v>
      </c>
      <c r="G42" s="25" t="s">
        <v>287</v>
      </c>
      <c r="H42" s="25" t="s">
        <v>288</v>
      </c>
      <c r="I42" s="25" t="s">
        <v>289</v>
      </c>
      <c r="J42" s="25">
        <v>6</v>
      </c>
      <c r="K42" s="25" t="s">
        <v>290</v>
      </c>
      <c r="N42" s="1" t="s">
        <v>294</v>
      </c>
      <c r="O42" s="1">
        <v>475</v>
      </c>
      <c r="P42" s="1" t="s">
        <v>295</v>
      </c>
    </row>
    <row r="43" spans="1:16" x14ac:dyDescent="0.3">
      <c r="A43" s="20" t="s">
        <v>181</v>
      </c>
      <c r="B43" s="1" t="s">
        <v>182</v>
      </c>
      <c r="C43" s="1">
        <v>2003</v>
      </c>
      <c r="D43" s="1">
        <v>2003</v>
      </c>
      <c r="E43" s="25" t="s">
        <v>194</v>
      </c>
      <c r="F43" s="25" t="s">
        <v>183</v>
      </c>
      <c r="G43" s="25" t="s">
        <v>287</v>
      </c>
      <c r="H43" s="25" t="s">
        <v>288</v>
      </c>
      <c r="I43" s="25" t="s">
        <v>289</v>
      </c>
      <c r="J43" s="25">
        <v>6</v>
      </c>
      <c r="K43" s="25" t="s">
        <v>290</v>
      </c>
      <c r="N43" s="1" t="s">
        <v>293</v>
      </c>
      <c r="O43" s="1">
        <v>594</v>
      </c>
      <c r="P43" s="1" t="s">
        <v>295</v>
      </c>
    </row>
    <row r="44" spans="1:16" x14ac:dyDescent="0.3">
      <c r="A44" s="20" t="s">
        <v>181</v>
      </c>
      <c r="B44" s="1" t="s">
        <v>182</v>
      </c>
      <c r="C44" s="1">
        <v>2003</v>
      </c>
      <c r="D44" s="1">
        <v>2003</v>
      </c>
      <c r="E44" s="25" t="s">
        <v>194</v>
      </c>
      <c r="F44" s="25" t="s">
        <v>183</v>
      </c>
      <c r="G44" s="25" t="s">
        <v>287</v>
      </c>
      <c r="H44" s="25" t="s">
        <v>288</v>
      </c>
      <c r="I44" s="25" t="s">
        <v>289</v>
      </c>
      <c r="J44" s="25">
        <v>8</v>
      </c>
      <c r="K44" s="25" t="s">
        <v>290</v>
      </c>
      <c r="N44" s="1" t="s">
        <v>292</v>
      </c>
      <c r="O44" s="1">
        <v>760</v>
      </c>
      <c r="P44" s="1" t="s">
        <v>295</v>
      </c>
    </row>
    <row r="45" spans="1:16" x14ac:dyDescent="0.3">
      <c r="A45" s="20" t="s">
        <v>181</v>
      </c>
      <c r="B45" s="1" t="s">
        <v>182</v>
      </c>
      <c r="C45" s="1">
        <v>2003</v>
      </c>
      <c r="D45" s="1">
        <v>2003</v>
      </c>
      <c r="E45" s="25" t="s">
        <v>194</v>
      </c>
      <c r="F45" s="25" t="s">
        <v>183</v>
      </c>
      <c r="G45" s="25" t="s">
        <v>287</v>
      </c>
      <c r="H45" s="25" t="s">
        <v>288</v>
      </c>
      <c r="I45" s="25" t="s">
        <v>289</v>
      </c>
      <c r="J45" s="1">
        <v>8</v>
      </c>
      <c r="K45" s="25" t="s">
        <v>290</v>
      </c>
      <c r="N45" s="1" t="s">
        <v>293</v>
      </c>
      <c r="O45" s="1">
        <v>855</v>
      </c>
      <c r="P45" s="1" t="s">
        <v>295</v>
      </c>
    </row>
    <row r="46" spans="1:16" x14ac:dyDescent="0.3">
      <c r="A46" s="20" t="s">
        <v>181</v>
      </c>
      <c r="B46" s="1" t="s">
        <v>182</v>
      </c>
      <c r="C46" s="1">
        <v>2003</v>
      </c>
      <c r="D46" s="1">
        <v>2003</v>
      </c>
      <c r="E46" s="25" t="s">
        <v>194</v>
      </c>
      <c r="F46" s="25" t="s">
        <v>183</v>
      </c>
      <c r="G46" s="25" t="s">
        <v>287</v>
      </c>
      <c r="H46" s="1" t="s">
        <v>296</v>
      </c>
      <c r="I46" s="1" t="s">
        <v>297</v>
      </c>
      <c r="J46" s="1" t="s">
        <v>299</v>
      </c>
      <c r="K46" s="1" t="s">
        <v>298</v>
      </c>
      <c r="N46" s="1" t="s">
        <v>301</v>
      </c>
      <c r="O46" s="1">
        <v>2.1</v>
      </c>
      <c r="P46" s="1" t="s">
        <v>305</v>
      </c>
    </row>
    <row r="47" spans="1:16" x14ac:dyDescent="0.3">
      <c r="A47" s="20" t="s">
        <v>181</v>
      </c>
      <c r="B47" s="1" t="s">
        <v>182</v>
      </c>
      <c r="C47" s="1">
        <v>2003</v>
      </c>
      <c r="D47" s="1">
        <v>2003</v>
      </c>
      <c r="E47" s="25" t="s">
        <v>194</v>
      </c>
      <c r="F47" s="25" t="s">
        <v>183</v>
      </c>
      <c r="G47" s="25" t="s">
        <v>287</v>
      </c>
      <c r="H47" s="1" t="s">
        <v>296</v>
      </c>
      <c r="I47" s="1" t="s">
        <v>297</v>
      </c>
      <c r="J47" s="1" t="s">
        <v>303</v>
      </c>
      <c r="K47" s="1" t="s">
        <v>298</v>
      </c>
      <c r="N47" s="1" t="s">
        <v>302</v>
      </c>
      <c r="O47" s="1">
        <v>3</v>
      </c>
      <c r="P47" s="1" t="s">
        <v>305</v>
      </c>
    </row>
    <row r="48" spans="1:16" x14ac:dyDescent="0.3">
      <c r="A48" s="20" t="s">
        <v>181</v>
      </c>
      <c r="B48" s="1" t="s">
        <v>182</v>
      </c>
      <c r="C48" s="1">
        <v>2003</v>
      </c>
      <c r="D48" s="1">
        <v>2003</v>
      </c>
      <c r="E48" s="25" t="s">
        <v>194</v>
      </c>
      <c r="F48" s="25" t="s">
        <v>183</v>
      </c>
      <c r="G48" s="25" t="s">
        <v>287</v>
      </c>
      <c r="H48" s="1" t="s">
        <v>296</v>
      </c>
      <c r="I48" s="1" t="s">
        <v>297</v>
      </c>
      <c r="J48" s="1" t="s">
        <v>533</v>
      </c>
      <c r="K48" s="1" t="s">
        <v>298</v>
      </c>
      <c r="N48" s="1" t="s">
        <v>301</v>
      </c>
      <c r="O48" s="1">
        <v>2</v>
      </c>
      <c r="P48" s="1" t="s">
        <v>305</v>
      </c>
    </row>
    <row r="49" spans="1:16" x14ac:dyDescent="0.3">
      <c r="A49" s="20" t="s">
        <v>181</v>
      </c>
      <c r="B49" s="1" t="s">
        <v>182</v>
      </c>
      <c r="C49" s="1">
        <v>2003</v>
      </c>
      <c r="D49" s="1">
        <v>2003</v>
      </c>
      <c r="E49" s="25" t="s">
        <v>194</v>
      </c>
      <c r="F49" s="25" t="s">
        <v>183</v>
      </c>
      <c r="G49" s="25" t="s">
        <v>287</v>
      </c>
      <c r="H49" s="1" t="s">
        <v>296</v>
      </c>
      <c r="I49" s="1" t="s">
        <v>297</v>
      </c>
      <c r="J49" s="1" t="s">
        <v>533</v>
      </c>
      <c r="K49" s="1" t="s">
        <v>298</v>
      </c>
      <c r="N49" s="1" t="s">
        <v>302</v>
      </c>
      <c r="O49" s="1">
        <v>2.9</v>
      </c>
      <c r="P49" s="1" t="s">
        <v>305</v>
      </c>
    </row>
    <row r="50" spans="1:16" x14ac:dyDescent="0.3">
      <c r="A50" s="20" t="s">
        <v>181</v>
      </c>
      <c r="B50" s="1" t="s">
        <v>182</v>
      </c>
      <c r="C50" s="1">
        <v>2003</v>
      </c>
      <c r="D50" s="1">
        <v>2003</v>
      </c>
      <c r="E50" s="25" t="s">
        <v>194</v>
      </c>
      <c r="F50" s="25" t="s">
        <v>183</v>
      </c>
      <c r="G50" s="25" t="s">
        <v>287</v>
      </c>
      <c r="H50" s="1" t="s">
        <v>296</v>
      </c>
      <c r="I50" s="1" t="s">
        <v>297</v>
      </c>
      <c r="J50" s="1" t="s">
        <v>300</v>
      </c>
      <c r="K50" s="1" t="s">
        <v>298</v>
      </c>
      <c r="N50" s="1" t="s">
        <v>301</v>
      </c>
      <c r="O50" s="1">
        <v>1.85</v>
      </c>
      <c r="P50" s="1" t="s">
        <v>305</v>
      </c>
    </row>
    <row r="51" spans="1:16" x14ac:dyDescent="0.3">
      <c r="A51" s="20" t="s">
        <v>181</v>
      </c>
      <c r="B51" s="1" t="s">
        <v>182</v>
      </c>
      <c r="C51" s="1">
        <v>2003</v>
      </c>
      <c r="D51" s="1">
        <v>2003</v>
      </c>
      <c r="E51" s="25" t="s">
        <v>194</v>
      </c>
      <c r="F51" s="25" t="s">
        <v>183</v>
      </c>
      <c r="G51" s="25" t="s">
        <v>287</v>
      </c>
      <c r="H51" s="1" t="s">
        <v>296</v>
      </c>
      <c r="I51" s="1" t="s">
        <v>297</v>
      </c>
      <c r="J51" s="1" t="s">
        <v>304</v>
      </c>
      <c r="K51" s="1" t="s">
        <v>298</v>
      </c>
      <c r="N51" s="1" t="s">
        <v>302</v>
      </c>
      <c r="O51" s="1">
        <v>2.75</v>
      </c>
      <c r="P51" s="1" t="s">
        <v>305</v>
      </c>
    </row>
    <row r="52" spans="1:16" x14ac:dyDescent="0.3">
      <c r="A52" s="20" t="s">
        <v>181</v>
      </c>
      <c r="B52" s="1" t="s">
        <v>182</v>
      </c>
      <c r="C52" s="1">
        <v>2003</v>
      </c>
      <c r="D52" s="1">
        <v>2003</v>
      </c>
      <c r="E52" s="25" t="s">
        <v>194</v>
      </c>
      <c r="F52" s="25" t="s">
        <v>183</v>
      </c>
      <c r="G52" s="1" t="s">
        <v>534</v>
      </c>
      <c r="H52" s="1" t="s">
        <v>306</v>
      </c>
      <c r="J52" s="1" t="s">
        <v>307</v>
      </c>
      <c r="O52" s="1">
        <v>47.25</v>
      </c>
      <c r="P52" s="1" t="s">
        <v>308</v>
      </c>
    </row>
    <row r="53" spans="1:16" x14ac:dyDescent="0.3">
      <c r="A53" s="20" t="s">
        <v>181</v>
      </c>
      <c r="B53" s="1" t="s">
        <v>182</v>
      </c>
      <c r="C53" s="1">
        <v>2003</v>
      </c>
      <c r="D53" s="1">
        <v>2003</v>
      </c>
      <c r="E53" s="25" t="s">
        <v>194</v>
      </c>
      <c r="F53" s="25" t="s">
        <v>183</v>
      </c>
      <c r="G53" s="1" t="s">
        <v>534</v>
      </c>
      <c r="H53" s="1" t="s">
        <v>306</v>
      </c>
      <c r="J53" s="1" t="s">
        <v>309</v>
      </c>
      <c r="O53" s="1">
        <v>9.6</v>
      </c>
      <c r="P53" s="1" t="s">
        <v>312</v>
      </c>
    </row>
    <row r="54" spans="1:16" x14ac:dyDescent="0.3">
      <c r="A54" s="20" t="s">
        <v>181</v>
      </c>
      <c r="B54" s="1" t="s">
        <v>182</v>
      </c>
      <c r="C54" s="1">
        <v>2003</v>
      </c>
      <c r="D54" s="1">
        <v>2003</v>
      </c>
      <c r="E54" s="25" t="s">
        <v>194</v>
      </c>
      <c r="F54" s="25" t="s">
        <v>183</v>
      </c>
      <c r="G54" s="1" t="s">
        <v>474</v>
      </c>
      <c r="H54" s="1" t="s">
        <v>310</v>
      </c>
      <c r="J54" s="1" t="s">
        <v>313</v>
      </c>
      <c r="O54" s="1">
        <v>165</v>
      </c>
      <c r="P54" s="1" t="s">
        <v>311</v>
      </c>
    </row>
    <row r="55" spans="1:16" x14ac:dyDescent="0.3">
      <c r="A55" s="20" t="s">
        <v>181</v>
      </c>
      <c r="B55" s="1" t="s">
        <v>182</v>
      </c>
      <c r="C55" s="1">
        <v>2003</v>
      </c>
      <c r="D55" s="1">
        <v>2003</v>
      </c>
      <c r="E55" s="25" t="s">
        <v>194</v>
      </c>
      <c r="F55" s="25" t="s">
        <v>183</v>
      </c>
      <c r="G55" s="1" t="s">
        <v>474</v>
      </c>
      <c r="H55" s="1" t="s">
        <v>310</v>
      </c>
      <c r="J55" s="1" t="s">
        <v>314</v>
      </c>
      <c r="N55" s="1" t="s">
        <v>315</v>
      </c>
      <c r="O55" s="1">
        <v>165</v>
      </c>
      <c r="P55" s="1" t="s">
        <v>311</v>
      </c>
    </row>
    <row r="56" spans="1:16" x14ac:dyDescent="0.3">
      <c r="A56" s="20" t="s">
        <v>181</v>
      </c>
      <c r="B56" s="1" t="s">
        <v>182</v>
      </c>
      <c r="C56" s="1">
        <v>2003</v>
      </c>
      <c r="D56" s="1">
        <v>2003</v>
      </c>
      <c r="E56" s="25" t="s">
        <v>194</v>
      </c>
      <c r="F56" s="25" t="s">
        <v>183</v>
      </c>
      <c r="G56" s="1" t="s">
        <v>474</v>
      </c>
      <c r="H56" s="1" t="s">
        <v>310</v>
      </c>
      <c r="J56" s="1" t="s">
        <v>314</v>
      </c>
      <c r="N56" s="1" t="s">
        <v>316</v>
      </c>
      <c r="O56" s="1">
        <v>0.22</v>
      </c>
      <c r="P56" s="1" t="s">
        <v>311</v>
      </c>
    </row>
    <row r="57" spans="1:16" x14ac:dyDescent="0.3">
      <c r="A57" s="20" t="s">
        <v>181</v>
      </c>
      <c r="B57" s="1" t="s">
        <v>182</v>
      </c>
      <c r="C57" s="1">
        <v>2003</v>
      </c>
      <c r="D57" s="1">
        <v>2003</v>
      </c>
      <c r="E57" s="25" t="s">
        <v>194</v>
      </c>
      <c r="F57" s="25" t="s">
        <v>183</v>
      </c>
      <c r="G57" s="1" t="s">
        <v>474</v>
      </c>
      <c r="H57" s="1" t="s">
        <v>310</v>
      </c>
      <c r="J57" s="1" t="s">
        <v>317</v>
      </c>
      <c r="O57" s="1">
        <v>165</v>
      </c>
      <c r="P57" s="1" t="s">
        <v>311</v>
      </c>
    </row>
    <row r="58" spans="1:16" x14ac:dyDescent="0.3">
      <c r="A58" s="20" t="s">
        <v>181</v>
      </c>
      <c r="B58" s="1" t="s">
        <v>182</v>
      </c>
      <c r="C58" s="1">
        <v>2010</v>
      </c>
      <c r="D58" s="1">
        <v>2009</v>
      </c>
      <c r="E58" s="25" t="s">
        <v>194</v>
      </c>
      <c r="F58" s="25" t="s">
        <v>183</v>
      </c>
      <c r="G58" s="25" t="s">
        <v>287</v>
      </c>
      <c r="H58" s="25" t="s">
        <v>288</v>
      </c>
      <c r="I58" s="25" t="s">
        <v>289</v>
      </c>
      <c r="J58" s="1">
        <v>0.625</v>
      </c>
      <c r="K58" s="25" t="s">
        <v>290</v>
      </c>
      <c r="O58" s="1">
        <v>9.5</v>
      </c>
      <c r="P58" s="1" t="s">
        <v>295</v>
      </c>
    </row>
    <row r="59" spans="1:16" x14ac:dyDescent="0.3">
      <c r="A59" s="20" t="s">
        <v>181</v>
      </c>
      <c r="B59" s="1" t="s">
        <v>182</v>
      </c>
      <c r="C59" s="1">
        <v>2010</v>
      </c>
      <c r="D59" s="1">
        <v>2009</v>
      </c>
      <c r="E59" s="25" t="s">
        <v>194</v>
      </c>
      <c r="F59" s="25" t="s">
        <v>183</v>
      </c>
      <c r="G59" s="25" t="s">
        <v>287</v>
      </c>
      <c r="H59" s="25" t="s">
        <v>288</v>
      </c>
      <c r="I59" s="25" t="s">
        <v>289</v>
      </c>
      <c r="J59" s="1">
        <v>0.75</v>
      </c>
      <c r="K59" s="25" t="s">
        <v>290</v>
      </c>
      <c r="O59" s="1">
        <v>14</v>
      </c>
      <c r="P59" s="1" t="s">
        <v>295</v>
      </c>
    </row>
    <row r="60" spans="1:16" x14ac:dyDescent="0.3">
      <c r="A60" s="20" t="s">
        <v>181</v>
      </c>
      <c r="B60" s="1" t="s">
        <v>182</v>
      </c>
      <c r="C60" s="1">
        <v>2010</v>
      </c>
      <c r="D60" s="1">
        <v>2009</v>
      </c>
      <c r="E60" s="25" t="s">
        <v>194</v>
      </c>
      <c r="F60" s="25" t="s">
        <v>183</v>
      </c>
      <c r="G60" s="25" t="s">
        <v>287</v>
      </c>
      <c r="H60" s="25" t="s">
        <v>288</v>
      </c>
      <c r="I60" s="25" t="s">
        <v>289</v>
      </c>
      <c r="J60" s="25">
        <v>1</v>
      </c>
      <c r="K60" s="25" t="s">
        <v>290</v>
      </c>
      <c r="O60" s="1">
        <v>23.5</v>
      </c>
      <c r="P60" s="1" t="s">
        <v>295</v>
      </c>
    </row>
    <row r="61" spans="1:16" x14ac:dyDescent="0.3">
      <c r="A61" s="20" t="s">
        <v>181</v>
      </c>
      <c r="B61" s="1" t="s">
        <v>182</v>
      </c>
      <c r="C61" s="1">
        <v>2010</v>
      </c>
      <c r="D61" s="1">
        <v>2009</v>
      </c>
      <c r="E61" s="25" t="s">
        <v>194</v>
      </c>
      <c r="F61" s="25" t="s">
        <v>183</v>
      </c>
      <c r="G61" s="25" t="s">
        <v>287</v>
      </c>
      <c r="H61" s="25" t="s">
        <v>288</v>
      </c>
      <c r="I61" s="25" t="s">
        <v>289</v>
      </c>
      <c r="J61" s="25">
        <v>1.25</v>
      </c>
      <c r="K61" s="25" t="s">
        <v>290</v>
      </c>
      <c r="O61" s="1">
        <v>36</v>
      </c>
      <c r="P61" s="1" t="s">
        <v>295</v>
      </c>
    </row>
    <row r="62" spans="1:16" x14ac:dyDescent="0.3">
      <c r="A62" s="20" t="s">
        <v>181</v>
      </c>
      <c r="B62" s="1" t="s">
        <v>182</v>
      </c>
      <c r="C62" s="1">
        <v>2010</v>
      </c>
      <c r="D62" s="1">
        <v>2009</v>
      </c>
      <c r="E62" s="25" t="s">
        <v>194</v>
      </c>
      <c r="F62" s="25" t="s">
        <v>183</v>
      </c>
      <c r="G62" s="25" t="s">
        <v>287</v>
      </c>
      <c r="H62" s="25" t="s">
        <v>288</v>
      </c>
      <c r="I62" s="25" t="s">
        <v>289</v>
      </c>
      <c r="J62" s="25">
        <v>1.5</v>
      </c>
      <c r="K62" s="25" t="s">
        <v>290</v>
      </c>
      <c r="O62" s="1">
        <v>47</v>
      </c>
      <c r="P62" s="1" t="s">
        <v>295</v>
      </c>
    </row>
    <row r="63" spans="1:16" x14ac:dyDescent="0.3">
      <c r="A63" s="20" t="s">
        <v>181</v>
      </c>
      <c r="B63" s="1" t="s">
        <v>182</v>
      </c>
      <c r="C63" s="1">
        <v>2010</v>
      </c>
      <c r="D63" s="1">
        <v>2009</v>
      </c>
      <c r="E63" s="25" t="s">
        <v>194</v>
      </c>
      <c r="F63" s="25" t="s">
        <v>183</v>
      </c>
      <c r="G63" s="25" t="s">
        <v>287</v>
      </c>
      <c r="H63" s="25" t="s">
        <v>288</v>
      </c>
      <c r="I63" s="25" t="s">
        <v>289</v>
      </c>
      <c r="J63" s="25">
        <v>2</v>
      </c>
      <c r="K63" s="25" t="s">
        <v>290</v>
      </c>
      <c r="O63" s="1">
        <v>76</v>
      </c>
      <c r="P63" s="1" t="s">
        <v>295</v>
      </c>
    </row>
    <row r="64" spans="1:16" x14ac:dyDescent="0.3">
      <c r="A64" s="20" t="s">
        <v>181</v>
      </c>
      <c r="B64" s="1" t="s">
        <v>182</v>
      </c>
      <c r="C64" s="1">
        <v>2010</v>
      </c>
      <c r="D64" s="1">
        <v>2009</v>
      </c>
      <c r="E64" s="25" t="s">
        <v>194</v>
      </c>
      <c r="F64" s="25" t="s">
        <v>183</v>
      </c>
      <c r="G64" s="25" t="s">
        <v>287</v>
      </c>
      <c r="H64" s="25" t="s">
        <v>288</v>
      </c>
      <c r="I64" s="25" t="s">
        <v>289</v>
      </c>
      <c r="J64" s="25">
        <v>3</v>
      </c>
      <c r="K64" s="25" t="s">
        <v>290</v>
      </c>
      <c r="N64" s="1" t="s">
        <v>291</v>
      </c>
      <c r="O64" s="1">
        <v>142</v>
      </c>
      <c r="P64" s="1" t="s">
        <v>295</v>
      </c>
    </row>
    <row r="65" spans="1:16" x14ac:dyDescent="0.3">
      <c r="A65" s="20" t="s">
        <v>181</v>
      </c>
      <c r="B65" s="1" t="s">
        <v>182</v>
      </c>
      <c r="C65" s="1">
        <v>2010</v>
      </c>
      <c r="D65" s="1">
        <v>2009</v>
      </c>
      <c r="E65" s="25" t="s">
        <v>194</v>
      </c>
      <c r="F65" s="25" t="s">
        <v>183</v>
      </c>
      <c r="G65" s="25" t="s">
        <v>287</v>
      </c>
      <c r="H65" s="25" t="s">
        <v>288</v>
      </c>
      <c r="I65" s="25" t="s">
        <v>289</v>
      </c>
      <c r="J65" s="25">
        <v>3</v>
      </c>
      <c r="K65" s="25" t="s">
        <v>290</v>
      </c>
      <c r="N65" s="1" t="s">
        <v>292</v>
      </c>
      <c r="O65" s="1">
        <v>152</v>
      </c>
      <c r="P65" s="1" t="s">
        <v>295</v>
      </c>
    </row>
    <row r="66" spans="1:16" x14ac:dyDescent="0.3">
      <c r="A66" s="20" t="s">
        <v>181</v>
      </c>
      <c r="B66" s="1" t="s">
        <v>182</v>
      </c>
      <c r="C66" s="1">
        <v>2010</v>
      </c>
      <c r="D66" s="1">
        <v>2009</v>
      </c>
      <c r="E66" s="25" t="s">
        <v>194</v>
      </c>
      <c r="F66" s="25" t="s">
        <v>183</v>
      </c>
      <c r="G66" s="25" t="s">
        <v>287</v>
      </c>
      <c r="H66" s="25" t="s">
        <v>288</v>
      </c>
      <c r="I66" s="25" t="s">
        <v>289</v>
      </c>
      <c r="J66" s="25">
        <v>3</v>
      </c>
      <c r="K66" s="25" t="s">
        <v>290</v>
      </c>
      <c r="N66" s="1" t="s">
        <v>293</v>
      </c>
      <c r="O66" s="1">
        <v>166</v>
      </c>
      <c r="P66" s="1" t="s">
        <v>295</v>
      </c>
    </row>
    <row r="67" spans="1:16" x14ac:dyDescent="0.3">
      <c r="A67" s="20" t="s">
        <v>181</v>
      </c>
      <c r="B67" s="1" t="s">
        <v>182</v>
      </c>
      <c r="C67" s="1">
        <v>2010</v>
      </c>
      <c r="D67" s="1">
        <v>2009</v>
      </c>
      <c r="E67" s="25" t="s">
        <v>194</v>
      </c>
      <c r="F67" s="25" t="s">
        <v>183</v>
      </c>
      <c r="G67" s="25" t="s">
        <v>287</v>
      </c>
      <c r="H67" s="25" t="s">
        <v>288</v>
      </c>
      <c r="I67" s="25" t="s">
        <v>289</v>
      </c>
      <c r="J67" s="25">
        <v>4</v>
      </c>
      <c r="K67" s="25" t="s">
        <v>290</v>
      </c>
      <c r="N67" s="1" t="s">
        <v>294</v>
      </c>
      <c r="O67" s="1">
        <v>237</v>
      </c>
      <c r="P67" s="1" t="s">
        <v>295</v>
      </c>
    </row>
    <row r="68" spans="1:16" x14ac:dyDescent="0.3">
      <c r="A68" s="20" t="s">
        <v>181</v>
      </c>
      <c r="B68" s="1" t="s">
        <v>182</v>
      </c>
      <c r="C68" s="1">
        <v>2010</v>
      </c>
      <c r="D68" s="1">
        <v>2009</v>
      </c>
      <c r="E68" s="25" t="s">
        <v>194</v>
      </c>
      <c r="F68" s="25" t="s">
        <v>183</v>
      </c>
      <c r="G68" s="25" t="s">
        <v>287</v>
      </c>
      <c r="H68" s="25" t="s">
        <v>288</v>
      </c>
      <c r="I68" s="25" t="s">
        <v>289</v>
      </c>
      <c r="J68" s="25">
        <v>4</v>
      </c>
      <c r="K68" s="25" t="s">
        <v>290</v>
      </c>
      <c r="N68" s="1" t="s">
        <v>293</v>
      </c>
      <c r="O68" s="1">
        <v>285</v>
      </c>
      <c r="P68" s="1" t="s">
        <v>295</v>
      </c>
    </row>
    <row r="69" spans="1:16" x14ac:dyDescent="0.3">
      <c r="A69" s="20" t="s">
        <v>181</v>
      </c>
      <c r="B69" s="1" t="s">
        <v>182</v>
      </c>
      <c r="C69" s="1">
        <v>2010</v>
      </c>
      <c r="D69" s="1">
        <v>2009</v>
      </c>
      <c r="E69" s="25" t="s">
        <v>194</v>
      </c>
      <c r="F69" s="25" t="s">
        <v>183</v>
      </c>
      <c r="G69" s="25" t="s">
        <v>287</v>
      </c>
      <c r="H69" s="25" t="s">
        <v>288</v>
      </c>
      <c r="I69" s="25" t="s">
        <v>289</v>
      </c>
      <c r="J69" s="25">
        <v>6</v>
      </c>
      <c r="K69" s="25" t="s">
        <v>290</v>
      </c>
      <c r="N69" s="1" t="s">
        <v>294</v>
      </c>
      <c r="O69" s="1">
        <v>475</v>
      </c>
      <c r="P69" s="1" t="s">
        <v>295</v>
      </c>
    </row>
    <row r="70" spans="1:16" x14ac:dyDescent="0.3">
      <c r="A70" s="20" t="s">
        <v>181</v>
      </c>
      <c r="B70" s="1" t="s">
        <v>182</v>
      </c>
      <c r="C70" s="1">
        <v>2010</v>
      </c>
      <c r="D70" s="1">
        <v>2009</v>
      </c>
      <c r="E70" s="25" t="s">
        <v>194</v>
      </c>
      <c r="F70" s="25" t="s">
        <v>183</v>
      </c>
      <c r="G70" s="25" t="s">
        <v>287</v>
      </c>
      <c r="H70" s="25" t="s">
        <v>288</v>
      </c>
      <c r="I70" s="25" t="s">
        <v>289</v>
      </c>
      <c r="J70" s="25">
        <v>6</v>
      </c>
      <c r="K70" s="25" t="s">
        <v>290</v>
      </c>
      <c r="N70" s="1" t="s">
        <v>293</v>
      </c>
      <c r="O70" s="1">
        <v>594</v>
      </c>
      <c r="P70" s="1" t="s">
        <v>295</v>
      </c>
    </row>
    <row r="71" spans="1:16" x14ac:dyDescent="0.3">
      <c r="A71" s="20" t="s">
        <v>181</v>
      </c>
      <c r="B71" s="1" t="s">
        <v>182</v>
      </c>
      <c r="C71" s="1">
        <v>2010</v>
      </c>
      <c r="D71" s="1">
        <v>2009</v>
      </c>
      <c r="E71" s="25" t="s">
        <v>194</v>
      </c>
      <c r="F71" s="25" t="s">
        <v>183</v>
      </c>
      <c r="G71" s="25" t="s">
        <v>287</v>
      </c>
      <c r="H71" s="25" t="s">
        <v>288</v>
      </c>
      <c r="I71" s="25" t="s">
        <v>289</v>
      </c>
      <c r="J71" s="25">
        <v>8</v>
      </c>
      <c r="K71" s="25" t="s">
        <v>290</v>
      </c>
      <c r="N71" s="1" t="s">
        <v>292</v>
      </c>
      <c r="O71" s="1">
        <v>760</v>
      </c>
      <c r="P71" s="1" t="s">
        <v>295</v>
      </c>
    </row>
    <row r="72" spans="1:16" x14ac:dyDescent="0.3">
      <c r="A72" s="20" t="s">
        <v>181</v>
      </c>
      <c r="B72" s="1" t="s">
        <v>182</v>
      </c>
      <c r="C72" s="1">
        <v>2010</v>
      </c>
      <c r="D72" s="1">
        <v>2009</v>
      </c>
      <c r="E72" s="25" t="s">
        <v>194</v>
      </c>
      <c r="F72" s="25" t="s">
        <v>183</v>
      </c>
      <c r="G72" s="25" t="s">
        <v>287</v>
      </c>
      <c r="H72" s="25" t="s">
        <v>288</v>
      </c>
      <c r="I72" s="25" t="s">
        <v>289</v>
      </c>
      <c r="J72" s="1">
        <v>8</v>
      </c>
      <c r="K72" s="25" t="s">
        <v>290</v>
      </c>
      <c r="N72" s="1" t="s">
        <v>293</v>
      </c>
      <c r="O72" s="1">
        <v>855</v>
      </c>
      <c r="P72" s="1" t="s">
        <v>295</v>
      </c>
    </row>
    <row r="73" spans="1:16" x14ac:dyDescent="0.3">
      <c r="A73" s="20" t="s">
        <v>181</v>
      </c>
      <c r="B73" s="1" t="s">
        <v>182</v>
      </c>
      <c r="C73" s="1">
        <v>2010</v>
      </c>
      <c r="D73" s="1">
        <v>2009</v>
      </c>
      <c r="E73" s="25" t="s">
        <v>194</v>
      </c>
      <c r="F73" s="25" t="s">
        <v>183</v>
      </c>
      <c r="G73" s="25" t="s">
        <v>287</v>
      </c>
      <c r="H73" s="1" t="s">
        <v>296</v>
      </c>
      <c r="I73" s="1" t="s">
        <v>297</v>
      </c>
      <c r="J73" s="1" t="s">
        <v>299</v>
      </c>
      <c r="K73" s="1" t="s">
        <v>298</v>
      </c>
      <c r="N73" s="1" t="s">
        <v>301</v>
      </c>
      <c r="O73" s="1">
        <v>2.3199999999999998</v>
      </c>
      <c r="P73" s="1" t="s">
        <v>305</v>
      </c>
    </row>
    <row r="74" spans="1:16" x14ac:dyDescent="0.3">
      <c r="A74" s="20" t="s">
        <v>181</v>
      </c>
      <c r="B74" s="1" t="s">
        <v>182</v>
      </c>
      <c r="C74" s="1">
        <v>2010</v>
      </c>
      <c r="D74" s="1">
        <v>2009</v>
      </c>
      <c r="E74" s="25" t="s">
        <v>194</v>
      </c>
      <c r="F74" s="25" t="s">
        <v>183</v>
      </c>
      <c r="G74" s="25" t="s">
        <v>287</v>
      </c>
      <c r="H74" s="1" t="s">
        <v>296</v>
      </c>
      <c r="I74" s="1" t="s">
        <v>297</v>
      </c>
      <c r="J74" s="1" t="s">
        <v>303</v>
      </c>
      <c r="K74" s="1" t="s">
        <v>298</v>
      </c>
      <c r="N74" s="1" t="s">
        <v>302</v>
      </c>
      <c r="O74" s="1">
        <v>3.22</v>
      </c>
      <c r="P74" s="1" t="s">
        <v>305</v>
      </c>
    </row>
    <row r="75" spans="1:16" x14ac:dyDescent="0.3">
      <c r="A75" s="20" t="s">
        <v>181</v>
      </c>
      <c r="B75" s="1" t="s">
        <v>182</v>
      </c>
      <c r="C75" s="1">
        <v>2010</v>
      </c>
      <c r="D75" s="1">
        <v>2009</v>
      </c>
      <c r="E75" s="25" t="s">
        <v>194</v>
      </c>
      <c r="F75" s="25" t="s">
        <v>183</v>
      </c>
      <c r="G75" s="25" t="s">
        <v>287</v>
      </c>
      <c r="H75" s="1" t="s">
        <v>296</v>
      </c>
      <c r="I75" s="1" t="s">
        <v>297</v>
      </c>
      <c r="J75" s="1" t="s">
        <v>533</v>
      </c>
      <c r="K75" s="1" t="s">
        <v>298</v>
      </c>
      <c r="N75" s="1" t="s">
        <v>301</v>
      </c>
      <c r="O75" s="1">
        <v>2.2200000000000002</v>
      </c>
      <c r="P75" s="1" t="s">
        <v>305</v>
      </c>
    </row>
    <row r="76" spans="1:16" x14ac:dyDescent="0.3">
      <c r="A76" s="20" t="s">
        <v>181</v>
      </c>
      <c r="B76" s="1" t="s">
        <v>182</v>
      </c>
      <c r="C76" s="1">
        <v>2010</v>
      </c>
      <c r="D76" s="1">
        <v>2009</v>
      </c>
      <c r="E76" s="25" t="s">
        <v>194</v>
      </c>
      <c r="F76" s="25" t="s">
        <v>183</v>
      </c>
      <c r="G76" s="25" t="s">
        <v>287</v>
      </c>
      <c r="H76" s="1" t="s">
        <v>296</v>
      </c>
      <c r="I76" s="1" t="s">
        <v>297</v>
      </c>
      <c r="J76" s="1" t="s">
        <v>533</v>
      </c>
      <c r="K76" s="1" t="s">
        <v>298</v>
      </c>
      <c r="N76" s="1" t="s">
        <v>302</v>
      </c>
      <c r="O76" s="1">
        <v>3.12</v>
      </c>
      <c r="P76" s="1" t="s">
        <v>305</v>
      </c>
    </row>
    <row r="77" spans="1:16" x14ac:dyDescent="0.3">
      <c r="A77" s="20" t="s">
        <v>181</v>
      </c>
      <c r="B77" s="1" t="s">
        <v>182</v>
      </c>
      <c r="C77" s="1">
        <v>2010</v>
      </c>
      <c r="D77" s="1">
        <v>2009</v>
      </c>
      <c r="E77" s="25" t="s">
        <v>194</v>
      </c>
      <c r="F77" s="25" t="s">
        <v>183</v>
      </c>
      <c r="G77" s="25" t="s">
        <v>287</v>
      </c>
      <c r="H77" s="1" t="s">
        <v>296</v>
      </c>
      <c r="I77" s="1" t="s">
        <v>297</v>
      </c>
      <c r="J77" s="1" t="s">
        <v>300</v>
      </c>
      <c r="K77" s="1" t="s">
        <v>298</v>
      </c>
      <c r="N77" s="1" t="s">
        <v>301</v>
      </c>
      <c r="O77" s="1">
        <v>2.2000000000000002</v>
      </c>
      <c r="P77" s="1" t="s">
        <v>305</v>
      </c>
    </row>
    <row r="78" spans="1:16" x14ac:dyDescent="0.3">
      <c r="A78" s="20" t="s">
        <v>181</v>
      </c>
      <c r="B78" s="1" t="s">
        <v>182</v>
      </c>
      <c r="C78" s="1">
        <v>2010</v>
      </c>
      <c r="D78" s="1">
        <v>2009</v>
      </c>
      <c r="E78" s="25" t="s">
        <v>194</v>
      </c>
      <c r="F78" s="25" t="s">
        <v>183</v>
      </c>
      <c r="G78" s="25" t="s">
        <v>287</v>
      </c>
      <c r="H78" s="1" t="s">
        <v>296</v>
      </c>
      <c r="I78" s="1" t="s">
        <v>297</v>
      </c>
      <c r="J78" s="1" t="s">
        <v>304</v>
      </c>
      <c r="K78" s="1" t="s">
        <v>298</v>
      </c>
      <c r="N78" s="1" t="s">
        <v>302</v>
      </c>
      <c r="O78" s="1">
        <v>3.1</v>
      </c>
      <c r="P78" s="1" t="s">
        <v>305</v>
      </c>
    </row>
    <row r="79" spans="1:16" x14ac:dyDescent="0.3">
      <c r="A79" s="20" t="s">
        <v>181</v>
      </c>
      <c r="B79" s="1" t="s">
        <v>182</v>
      </c>
      <c r="C79" s="1">
        <v>2010</v>
      </c>
      <c r="D79" s="1">
        <v>2009</v>
      </c>
      <c r="E79" s="25" t="s">
        <v>194</v>
      </c>
      <c r="F79" s="25" t="s">
        <v>183</v>
      </c>
      <c r="G79" s="1" t="s">
        <v>534</v>
      </c>
      <c r="H79" s="1" t="s">
        <v>306</v>
      </c>
      <c r="J79" s="1" t="s">
        <v>307</v>
      </c>
      <c r="O79" s="1">
        <v>47.25</v>
      </c>
      <c r="P79" s="1" t="s">
        <v>308</v>
      </c>
    </row>
    <row r="80" spans="1:16" x14ac:dyDescent="0.3">
      <c r="A80" s="20" t="s">
        <v>181</v>
      </c>
      <c r="B80" s="1" t="s">
        <v>182</v>
      </c>
      <c r="C80" s="1">
        <v>2010</v>
      </c>
      <c r="D80" s="1">
        <v>2009</v>
      </c>
      <c r="E80" s="25" t="s">
        <v>194</v>
      </c>
      <c r="F80" s="25" t="s">
        <v>183</v>
      </c>
      <c r="G80" s="1" t="s">
        <v>534</v>
      </c>
      <c r="H80" s="1" t="s">
        <v>306</v>
      </c>
      <c r="J80" s="1" t="s">
        <v>309</v>
      </c>
      <c r="O80" s="1">
        <v>9.6</v>
      </c>
      <c r="P80" s="1" t="s">
        <v>312</v>
      </c>
    </row>
    <row r="81" spans="1:16" x14ac:dyDescent="0.3">
      <c r="A81" s="20" t="s">
        <v>181</v>
      </c>
      <c r="B81" s="1" t="s">
        <v>182</v>
      </c>
      <c r="C81" s="1">
        <v>2010</v>
      </c>
      <c r="D81" s="1">
        <v>2009</v>
      </c>
      <c r="E81" s="25" t="s">
        <v>194</v>
      </c>
      <c r="F81" s="25" t="s">
        <v>183</v>
      </c>
      <c r="G81" s="1" t="s">
        <v>474</v>
      </c>
      <c r="H81" s="1" t="s">
        <v>310</v>
      </c>
      <c r="J81" s="1" t="s">
        <v>313</v>
      </c>
      <c r="O81" s="1">
        <v>165</v>
      </c>
      <c r="P81" s="1" t="s">
        <v>311</v>
      </c>
    </row>
    <row r="82" spans="1:16" x14ac:dyDescent="0.3">
      <c r="A82" s="20" t="s">
        <v>181</v>
      </c>
      <c r="B82" s="1" t="s">
        <v>182</v>
      </c>
      <c r="C82" s="1">
        <v>2010</v>
      </c>
      <c r="D82" s="1">
        <v>2009</v>
      </c>
      <c r="E82" s="25" t="s">
        <v>194</v>
      </c>
      <c r="F82" s="25" t="s">
        <v>183</v>
      </c>
      <c r="G82" s="1" t="s">
        <v>474</v>
      </c>
      <c r="H82" s="1" t="s">
        <v>310</v>
      </c>
      <c r="J82" s="1" t="s">
        <v>314</v>
      </c>
      <c r="N82" s="1" t="s">
        <v>315</v>
      </c>
      <c r="O82" s="1">
        <v>165</v>
      </c>
      <c r="P82" s="1" t="s">
        <v>311</v>
      </c>
    </row>
    <row r="83" spans="1:16" x14ac:dyDescent="0.3">
      <c r="A83" s="20" t="s">
        <v>181</v>
      </c>
      <c r="B83" s="1" t="s">
        <v>182</v>
      </c>
      <c r="C83" s="1">
        <v>2010</v>
      </c>
      <c r="D83" s="1">
        <v>2009</v>
      </c>
      <c r="E83" s="25" t="s">
        <v>194</v>
      </c>
      <c r="F83" s="25" t="s">
        <v>183</v>
      </c>
      <c r="G83" s="1" t="s">
        <v>474</v>
      </c>
      <c r="H83" s="1" t="s">
        <v>310</v>
      </c>
      <c r="J83" s="1" t="s">
        <v>314</v>
      </c>
      <c r="N83" s="1" t="s">
        <v>316</v>
      </c>
      <c r="O83" s="1">
        <v>0.22</v>
      </c>
      <c r="P83" s="1" t="s">
        <v>311</v>
      </c>
    </row>
    <row r="84" spans="1:16" x14ac:dyDescent="0.3">
      <c r="A84" s="20" t="s">
        <v>181</v>
      </c>
      <c r="B84" s="1" t="s">
        <v>182</v>
      </c>
      <c r="C84" s="1">
        <v>2010</v>
      </c>
      <c r="D84" s="1">
        <v>2009</v>
      </c>
      <c r="E84" s="25" t="s">
        <v>194</v>
      </c>
      <c r="F84" s="25" t="s">
        <v>183</v>
      </c>
      <c r="G84" s="1" t="s">
        <v>474</v>
      </c>
      <c r="H84" s="1" t="s">
        <v>310</v>
      </c>
      <c r="J84" s="1" t="s">
        <v>317</v>
      </c>
      <c r="O84" s="1">
        <v>165</v>
      </c>
      <c r="P84" s="1" t="s">
        <v>311</v>
      </c>
    </row>
    <row r="85" spans="1:16" x14ac:dyDescent="0.3">
      <c r="A85" s="20" t="s">
        <v>181</v>
      </c>
      <c r="B85" s="1" t="s">
        <v>182</v>
      </c>
      <c r="C85" s="1">
        <v>2010</v>
      </c>
      <c r="D85" s="1">
        <v>2010</v>
      </c>
      <c r="E85" s="1">
        <v>2010</v>
      </c>
      <c r="F85" s="25" t="s">
        <v>183</v>
      </c>
      <c r="G85" s="25" t="s">
        <v>287</v>
      </c>
      <c r="H85" s="1" t="s">
        <v>296</v>
      </c>
      <c r="I85" s="1" t="s">
        <v>297</v>
      </c>
      <c r="J85" s="1" t="s">
        <v>299</v>
      </c>
      <c r="K85" s="1" t="s">
        <v>298</v>
      </c>
      <c r="N85" s="1" t="s">
        <v>301</v>
      </c>
      <c r="O85" s="1">
        <v>3.22</v>
      </c>
      <c r="P85" s="1" t="s">
        <v>305</v>
      </c>
    </row>
    <row r="86" spans="1:16" x14ac:dyDescent="0.3">
      <c r="A86" s="20" t="s">
        <v>181</v>
      </c>
      <c r="B86" s="1" t="s">
        <v>182</v>
      </c>
      <c r="C86" s="1">
        <v>2010</v>
      </c>
      <c r="D86" s="1">
        <v>2010</v>
      </c>
      <c r="E86" s="1">
        <v>2010</v>
      </c>
      <c r="F86" s="25" t="s">
        <v>183</v>
      </c>
      <c r="G86" s="25" t="s">
        <v>287</v>
      </c>
      <c r="H86" s="1" t="s">
        <v>296</v>
      </c>
      <c r="I86" s="1" t="s">
        <v>297</v>
      </c>
      <c r="J86" s="1" t="s">
        <v>303</v>
      </c>
      <c r="K86" s="1" t="s">
        <v>298</v>
      </c>
      <c r="N86" s="1" t="s">
        <v>302</v>
      </c>
      <c r="O86" s="1">
        <v>3.5</v>
      </c>
      <c r="P86" s="1" t="s">
        <v>305</v>
      </c>
    </row>
    <row r="87" spans="1:16" x14ac:dyDescent="0.3">
      <c r="A87" s="20" t="s">
        <v>181</v>
      </c>
      <c r="B87" s="1" t="s">
        <v>182</v>
      </c>
      <c r="C87" s="1">
        <v>2010</v>
      </c>
      <c r="D87" s="1">
        <v>2010</v>
      </c>
      <c r="E87" s="1">
        <v>2010</v>
      </c>
      <c r="F87" s="25" t="s">
        <v>183</v>
      </c>
      <c r="G87" s="25" t="s">
        <v>287</v>
      </c>
      <c r="H87" s="1" t="s">
        <v>296</v>
      </c>
      <c r="I87" s="1" t="s">
        <v>297</v>
      </c>
      <c r="J87" s="1" t="s">
        <v>533</v>
      </c>
      <c r="K87" s="1" t="s">
        <v>298</v>
      </c>
      <c r="N87" s="1" t="s">
        <v>301</v>
      </c>
      <c r="O87" s="1">
        <v>2.4</v>
      </c>
      <c r="P87" s="1" t="s">
        <v>305</v>
      </c>
    </row>
    <row r="88" spans="1:16" x14ac:dyDescent="0.3">
      <c r="A88" s="20" t="s">
        <v>181</v>
      </c>
      <c r="B88" s="1" t="s">
        <v>182</v>
      </c>
      <c r="C88" s="1">
        <v>2010</v>
      </c>
      <c r="D88" s="1">
        <v>2010</v>
      </c>
      <c r="E88" s="1">
        <v>2010</v>
      </c>
      <c r="F88" s="25" t="s">
        <v>183</v>
      </c>
      <c r="G88" s="25" t="s">
        <v>287</v>
      </c>
      <c r="H88" s="1" t="s">
        <v>296</v>
      </c>
      <c r="I88" s="1" t="s">
        <v>297</v>
      </c>
      <c r="J88" s="1" t="s">
        <v>533</v>
      </c>
      <c r="K88" s="1" t="s">
        <v>298</v>
      </c>
      <c r="N88" s="1" t="s">
        <v>302</v>
      </c>
      <c r="O88" s="1">
        <v>3.3</v>
      </c>
      <c r="P88" s="1" t="s">
        <v>305</v>
      </c>
    </row>
    <row r="89" spans="1:16" x14ac:dyDescent="0.3">
      <c r="A89" s="20" t="s">
        <v>181</v>
      </c>
      <c r="B89" s="1" t="s">
        <v>182</v>
      </c>
      <c r="C89" s="1">
        <v>2010</v>
      </c>
      <c r="D89" s="1">
        <v>2010</v>
      </c>
      <c r="E89" s="1">
        <v>2010</v>
      </c>
      <c r="F89" s="25" t="s">
        <v>183</v>
      </c>
      <c r="G89" s="25" t="s">
        <v>287</v>
      </c>
      <c r="H89" s="1" t="s">
        <v>296</v>
      </c>
      <c r="I89" s="1" t="s">
        <v>297</v>
      </c>
      <c r="J89" s="1" t="s">
        <v>300</v>
      </c>
      <c r="K89" s="1" t="s">
        <v>298</v>
      </c>
      <c r="N89" s="1" t="s">
        <v>301</v>
      </c>
      <c r="O89" s="1">
        <v>2.38</v>
      </c>
      <c r="P89" s="1" t="s">
        <v>305</v>
      </c>
    </row>
    <row r="90" spans="1:16" x14ac:dyDescent="0.3">
      <c r="A90" s="20" t="s">
        <v>181</v>
      </c>
      <c r="B90" s="1" t="s">
        <v>182</v>
      </c>
      <c r="C90" s="1">
        <v>2010</v>
      </c>
      <c r="D90" s="1">
        <v>2010</v>
      </c>
      <c r="E90" s="1">
        <v>2010</v>
      </c>
      <c r="F90" s="25" t="s">
        <v>183</v>
      </c>
      <c r="G90" s="25" t="s">
        <v>287</v>
      </c>
      <c r="H90" s="1" t="s">
        <v>296</v>
      </c>
      <c r="I90" s="1" t="s">
        <v>297</v>
      </c>
      <c r="J90" s="1" t="s">
        <v>304</v>
      </c>
      <c r="K90" s="1" t="s">
        <v>298</v>
      </c>
      <c r="N90" s="1" t="s">
        <v>302</v>
      </c>
      <c r="O90" s="1">
        <v>3.28</v>
      </c>
      <c r="P90" s="1" t="s">
        <v>305</v>
      </c>
    </row>
    <row r="91" spans="1:16" x14ac:dyDescent="0.3">
      <c r="A91" s="20" t="s">
        <v>181</v>
      </c>
      <c r="B91" s="1" t="s">
        <v>182</v>
      </c>
      <c r="C91" s="1">
        <v>2017</v>
      </c>
      <c r="D91" s="1">
        <v>2016</v>
      </c>
      <c r="E91" s="25" t="s">
        <v>194</v>
      </c>
      <c r="F91" s="25" t="s">
        <v>183</v>
      </c>
      <c r="G91" s="25" t="s">
        <v>287</v>
      </c>
      <c r="H91" s="25" t="s">
        <v>288</v>
      </c>
      <c r="I91" s="25" t="s">
        <v>289</v>
      </c>
      <c r="J91" s="1">
        <v>0.625</v>
      </c>
      <c r="K91" s="25" t="s">
        <v>290</v>
      </c>
      <c r="O91" s="1">
        <v>22</v>
      </c>
      <c r="P91" s="1" t="s">
        <v>295</v>
      </c>
    </row>
    <row r="92" spans="1:16" x14ac:dyDescent="0.3">
      <c r="A92" s="20" t="s">
        <v>181</v>
      </c>
      <c r="B92" s="1" t="s">
        <v>182</v>
      </c>
      <c r="C92" s="1">
        <v>2017</v>
      </c>
      <c r="D92" s="1">
        <v>2016</v>
      </c>
      <c r="E92" s="25" t="s">
        <v>194</v>
      </c>
      <c r="F92" s="25" t="s">
        <v>183</v>
      </c>
      <c r="G92" s="25" t="s">
        <v>287</v>
      </c>
      <c r="H92" s="25" t="s">
        <v>288</v>
      </c>
      <c r="I92" s="25" t="s">
        <v>289</v>
      </c>
      <c r="J92" s="1">
        <v>0.75</v>
      </c>
      <c r="K92" s="25" t="s">
        <v>290</v>
      </c>
      <c r="O92" s="1">
        <v>32</v>
      </c>
      <c r="P92" s="1" t="s">
        <v>295</v>
      </c>
    </row>
    <row r="93" spans="1:16" x14ac:dyDescent="0.3">
      <c r="A93" s="20" t="s">
        <v>181</v>
      </c>
      <c r="B93" s="1" t="s">
        <v>182</v>
      </c>
      <c r="C93" s="1">
        <v>2017</v>
      </c>
      <c r="D93" s="1">
        <v>2016</v>
      </c>
      <c r="E93" s="25" t="s">
        <v>194</v>
      </c>
      <c r="F93" s="25" t="s">
        <v>183</v>
      </c>
      <c r="G93" s="25" t="s">
        <v>287</v>
      </c>
      <c r="H93" s="25" t="s">
        <v>288</v>
      </c>
      <c r="I93" s="25" t="s">
        <v>289</v>
      </c>
      <c r="J93" s="25">
        <v>1</v>
      </c>
      <c r="K93" s="25" t="s">
        <v>290</v>
      </c>
      <c r="O93" s="1">
        <v>54</v>
      </c>
      <c r="P93" s="1" t="s">
        <v>295</v>
      </c>
    </row>
    <row r="94" spans="1:16" x14ac:dyDescent="0.3">
      <c r="A94" s="20" t="s">
        <v>181</v>
      </c>
      <c r="B94" s="1" t="s">
        <v>182</v>
      </c>
      <c r="C94" s="1">
        <v>2017</v>
      </c>
      <c r="D94" s="1">
        <v>2016</v>
      </c>
      <c r="E94" s="25" t="s">
        <v>194</v>
      </c>
      <c r="F94" s="25" t="s">
        <v>183</v>
      </c>
      <c r="G94" s="25" t="s">
        <v>287</v>
      </c>
      <c r="H94" s="25" t="s">
        <v>288</v>
      </c>
      <c r="I94" s="25" t="s">
        <v>289</v>
      </c>
      <c r="J94" s="25">
        <v>1.25</v>
      </c>
      <c r="K94" s="25" t="s">
        <v>290</v>
      </c>
      <c r="O94" s="1">
        <v>83</v>
      </c>
      <c r="P94" s="1" t="s">
        <v>295</v>
      </c>
    </row>
    <row r="95" spans="1:16" x14ac:dyDescent="0.3">
      <c r="A95" s="20" t="s">
        <v>181</v>
      </c>
      <c r="B95" s="1" t="s">
        <v>182</v>
      </c>
      <c r="C95" s="1">
        <v>2017</v>
      </c>
      <c r="D95" s="1">
        <v>2016</v>
      </c>
      <c r="E95" s="25" t="s">
        <v>194</v>
      </c>
      <c r="F95" s="25" t="s">
        <v>183</v>
      </c>
      <c r="G95" s="25" t="s">
        <v>287</v>
      </c>
      <c r="H95" s="25" t="s">
        <v>288</v>
      </c>
      <c r="I95" s="25" t="s">
        <v>289</v>
      </c>
      <c r="J95" s="25">
        <v>1.5</v>
      </c>
      <c r="K95" s="25" t="s">
        <v>290</v>
      </c>
      <c r="O95" s="1">
        <v>108</v>
      </c>
      <c r="P95" s="1" t="s">
        <v>295</v>
      </c>
    </row>
    <row r="96" spans="1:16" x14ac:dyDescent="0.3">
      <c r="A96" s="20" t="s">
        <v>181</v>
      </c>
      <c r="B96" s="1" t="s">
        <v>182</v>
      </c>
      <c r="C96" s="1">
        <v>2017</v>
      </c>
      <c r="D96" s="1">
        <v>2016</v>
      </c>
      <c r="E96" s="25" t="s">
        <v>194</v>
      </c>
      <c r="F96" s="25" t="s">
        <v>183</v>
      </c>
      <c r="G96" s="25" t="s">
        <v>287</v>
      </c>
      <c r="H96" s="25" t="s">
        <v>288</v>
      </c>
      <c r="I96" s="25" t="s">
        <v>289</v>
      </c>
      <c r="J96" s="25">
        <v>2</v>
      </c>
      <c r="K96" s="25" t="s">
        <v>290</v>
      </c>
      <c r="O96" s="1">
        <v>175</v>
      </c>
      <c r="P96" s="1" t="s">
        <v>295</v>
      </c>
    </row>
    <row r="97" spans="1:16" x14ac:dyDescent="0.3">
      <c r="A97" s="20" t="s">
        <v>181</v>
      </c>
      <c r="B97" s="1" t="s">
        <v>182</v>
      </c>
      <c r="C97" s="1">
        <v>2017</v>
      </c>
      <c r="D97" s="1">
        <v>2016</v>
      </c>
      <c r="E97" s="25" t="s">
        <v>194</v>
      </c>
      <c r="F97" s="25" t="s">
        <v>183</v>
      </c>
      <c r="G97" s="25" t="s">
        <v>287</v>
      </c>
      <c r="H97" s="25" t="s">
        <v>288</v>
      </c>
      <c r="I97" s="25" t="s">
        <v>289</v>
      </c>
      <c r="J97" s="25">
        <v>3</v>
      </c>
      <c r="K97" s="25" t="s">
        <v>290</v>
      </c>
      <c r="N97" s="1" t="s">
        <v>291</v>
      </c>
      <c r="O97" s="1">
        <v>326</v>
      </c>
      <c r="P97" s="1" t="s">
        <v>295</v>
      </c>
    </row>
    <row r="98" spans="1:16" x14ac:dyDescent="0.3">
      <c r="A98" s="20" t="s">
        <v>181</v>
      </c>
      <c r="B98" s="1" t="s">
        <v>182</v>
      </c>
      <c r="C98" s="1">
        <v>2017</v>
      </c>
      <c r="D98" s="1">
        <v>2016</v>
      </c>
      <c r="E98" s="25" t="s">
        <v>194</v>
      </c>
      <c r="F98" s="25" t="s">
        <v>183</v>
      </c>
      <c r="G98" s="25" t="s">
        <v>287</v>
      </c>
      <c r="H98" s="25" t="s">
        <v>288</v>
      </c>
      <c r="I98" s="25" t="s">
        <v>289</v>
      </c>
      <c r="J98" s="25">
        <v>3</v>
      </c>
      <c r="K98" s="25" t="s">
        <v>290</v>
      </c>
      <c r="N98" s="1" t="s">
        <v>292</v>
      </c>
      <c r="O98" s="1">
        <v>349</v>
      </c>
      <c r="P98" s="1" t="s">
        <v>295</v>
      </c>
    </row>
    <row r="99" spans="1:16" x14ac:dyDescent="0.3">
      <c r="A99" s="20" t="s">
        <v>181</v>
      </c>
      <c r="B99" s="1" t="s">
        <v>182</v>
      </c>
      <c r="C99" s="1">
        <v>2017</v>
      </c>
      <c r="D99" s="1">
        <v>2016</v>
      </c>
      <c r="E99" s="25" t="s">
        <v>194</v>
      </c>
      <c r="F99" s="25" t="s">
        <v>183</v>
      </c>
      <c r="G99" s="25" t="s">
        <v>287</v>
      </c>
      <c r="H99" s="25" t="s">
        <v>288</v>
      </c>
      <c r="I99" s="25" t="s">
        <v>289</v>
      </c>
      <c r="J99" s="25">
        <v>3</v>
      </c>
      <c r="K99" s="25" t="s">
        <v>290</v>
      </c>
      <c r="N99" s="1" t="s">
        <v>293</v>
      </c>
      <c r="O99" s="1">
        <v>382</v>
      </c>
      <c r="P99" s="1" t="s">
        <v>295</v>
      </c>
    </row>
    <row r="100" spans="1:16" x14ac:dyDescent="0.3">
      <c r="A100" s="20" t="s">
        <v>181</v>
      </c>
      <c r="B100" s="1" t="s">
        <v>182</v>
      </c>
      <c r="C100" s="1">
        <v>2017</v>
      </c>
      <c r="D100" s="1">
        <v>2016</v>
      </c>
      <c r="E100" s="25" t="s">
        <v>194</v>
      </c>
      <c r="F100" s="25" t="s">
        <v>183</v>
      </c>
      <c r="G100" s="25" t="s">
        <v>287</v>
      </c>
      <c r="H100" s="25" t="s">
        <v>288</v>
      </c>
      <c r="I100" s="25" t="s">
        <v>289</v>
      </c>
      <c r="J100" s="25">
        <v>4</v>
      </c>
      <c r="K100" s="25" t="s">
        <v>290</v>
      </c>
      <c r="N100" s="1" t="s">
        <v>294</v>
      </c>
      <c r="O100" s="1">
        <v>545</v>
      </c>
      <c r="P100" s="1" t="s">
        <v>295</v>
      </c>
    </row>
    <row r="101" spans="1:16" x14ac:dyDescent="0.3">
      <c r="A101" s="20" t="s">
        <v>181</v>
      </c>
      <c r="B101" s="1" t="s">
        <v>182</v>
      </c>
      <c r="C101" s="1">
        <v>2017</v>
      </c>
      <c r="D101" s="1">
        <v>2016</v>
      </c>
      <c r="E101" s="25" t="s">
        <v>194</v>
      </c>
      <c r="F101" s="25" t="s">
        <v>183</v>
      </c>
      <c r="G101" s="25" t="s">
        <v>287</v>
      </c>
      <c r="H101" s="25" t="s">
        <v>288</v>
      </c>
      <c r="I101" s="25" t="s">
        <v>289</v>
      </c>
      <c r="J101" s="25">
        <v>4</v>
      </c>
      <c r="K101" s="25" t="s">
        <v>290</v>
      </c>
      <c r="N101" s="1" t="s">
        <v>293</v>
      </c>
      <c r="O101" s="1">
        <v>655</v>
      </c>
      <c r="P101" s="1" t="s">
        <v>295</v>
      </c>
    </row>
    <row r="102" spans="1:16" x14ac:dyDescent="0.3">
      <c r="A102" s="20" t="s">
        <v>181</v>
      </c>
      <c r="B102" s="1" t="s">
        <v>182</v>
      </c>
      <c r="C102" s="1">
        <v>2017</v>
      </c>
      <c r="D102" s="1">
        <v>2016</v>
      </c>
      <c r="E102" s="25" t="s">
        <v>194</v>
      </c>
      <c r="F102" s="25" t="s">
        <v>183</v>
      </c>
      <c r="G102" s="25" t="s">
        <v>287</v>
      </c>
      <c r="H102" s="25" t="s">
        <v>288</v>
      </c>
      <c r="I102" s="25" t="s">
        <v>289</v>
      </c>
      <c r="J102" s="25">
        <v>6</v>
      </c>
      <c r="K102" s="25" t="s">
        <v>290</v>
      </c>
      <c r="N102" s="1" t="s">
        <v>294</v>
      </c>
      <c r="O102" s="1">
        <v>1092</v>
      </c>
      <c r="P102" s="1" t="s">
        <v>295</v>
      </c>
    </row>
    <row r="103" spans="1:16" x14ac:dyDescent="0.3">
      <c r="A103" s="20" t="s">
        <v>181</v>
      </c>
      <c r="B103" s="1" t="s">
        <v>182</v>
      </c>
      <c r="C103" s="1">
        <v>2017</v>
      </c>
      <c r="D103" s="1">
        <v>2016</v>
      </c>
      <c r="E103" s="25" t="s">
        <v>194</v>
      </c>
      <c r="F103" s="25" t="s">
        <v>183</v>
      </c>
      <c r="G103" s="25" t="s">
        <v>287</v>
      </c>
      <c r="H103" s="25" t="s">
        <v>288</v>
      </c>
      <c r="I103" s="25" t="s">
        <v>289</v>
      </c>
      <c r="J103" s="25">
        <v>6</v>
      </c>
      <c r="K103" s="25" t="s">
        <v>290</v>
      </c>
      <c r="N103" s="1" t="s">
        <v>293</v>
      </c>
      <c r="O103" s="1">
        <v>1366</v>
      </c>
      <c r="P103" s="1" t="s">
        <v>295</v>
      </c>
    </row>
    <row r="104" spans="1:16" x14ac:dyDescent="0.3">
      <c r="A104" s="20" t="s">
        <v>181</v>
      </c>
      <c r="B104" s="1" t="s">
        <v>182</v>
      </c>
      <c r="C104" s="1">
        <v>2017</v>
      </c>
      <c r="D104" s="1">
        <v>2016</v>
      </c>
      <c r="E104" s="25" t="s">
        <v>194</v>
      </c>
      <c r="F104" s="25" t="s">
        <v>183</v>
      </c>
      <c r="G104" s="25" t="s">
        <v>287</v>
      </c>
      <c r="H104" s="25" t="s">
        <v>288</v>
      </c>
      <c r="I104" s="25" t="s">
        <v>289</v>
      </c>
      <c r="J104" s="25">
        <v>8</v>
      </c>
      <c r="K104" s="25" t="s">
        <v>290</v>
      </c>
      <c r="N104" s="1" t="s">
        <v>292</v>
      </c>
      <c r="O104" s="1">
        <v>1747</v>
      </c>
      <c r="P104" s="1" t="s">
        <v>295</v>
      </c>
    </row>
    <row r="105" spans="1:16" x14ac:dyDescent="0.3">
      <c r="A105" s="20" t="s">
        <v>181</v>
      </c>
      <c r="B105" s="1" t="s">
        <v>182</v>
      </c>
      <c r="C105" s="1">
        <v>2017</v>
      </c>
      <c r="D105" s="1">
        <v>2016</v>
      </c>
      <c r="E105" s="25" t="s">
        <v>194</v>
      </c>
      <c r="F105" s="25" t="s">
        <v>183</v>
      </c>
      <c r="G105" s="25" t="s">
        <v>287</v>
      </c>
      <c r="H105" s="25" t="s">
        <v>288</v>
      </c>
      <c r="I105" s="25" t="s">
        <v>289</v>
      </c>
      <c r="J105" s="1">
        <v>8</v>
      </c>
      <c r="K105" s="25" t="s">
        <v>290</v>
      </c>
      <c r="N105" s="1" t="s">
        <v>293</v>
      </c>
      <c r="O105" s="1">
        <v>1966</v>
      </c>
      <c r="P105" s="1" t="s">
        <v>295</v>
      </c>
    </row>
    <row r="106" spans="1:16" x14ac:dyDescent="0.3">
      <c r="A106" s="20" t="s">
        <v>181</v>
      </c>
      <c r="B106" s="1" t="s">
        <v>182</v>
      </c>
      <c r="C106" s="1">
        <v>2017</v>
      </c>
      <c r="D106" s="1">
        <v>2016</v>
      </c>
      <c r="E106" s="1">
        <v>2012</v>
      </c>
      <c r="F106" s="25" t="s">
        <v>183</v>
      </c>
      <c r="G106" s="25" t="s">
        <v>287</v>
      </c>
      <c r="H106" s="1" t="s">
        <v>296</v>
      </c>
      <c r="I106" s="1" t="s">
        <v>297</v>
      </c>
      <c r="J106" s="1" t="s">
        <v>299</v>
      </c>
      <c r="K106" s="1" t="s">
        <v>298</v>
      </c>
      <c r="N106" s="1" t="s">
        <v>301</v>
      </c>
      <c r="O106" s="1">
        <v>3.05</v>
      </c>
      <c r="P106" s="1" t="s">
        <v>305</v>
      </c>
    </row>
    <row r="107" spans="1:16" x14ac:dyDescent="0.3">
      <c r="A107" s="20" t="s">
        <v>181</v>
      </c>
      <c r="B107" s="1" t="s">
        <v>182</v>
      </c>
      <c r="C107" s="1">
        <v>2017</v>
      </c>
      <c r="D107" s="1">
        <v>2016</v>
      </c>
      <c r="E107" s="1">
        <v>2012</v>
      </c>
      <c r="F107" s="25" t="s">
        <v>183</v>
      </c>
      <c r="G107" s="25" t="s">
        <v>287</v>
      </c>
      <c r="H107" s="1" t="s">
        <v>296</v>
      </c>
      <c r="I107" s="1" t="s">
        <v>297</v>
      </c>
      <c r="J107" s="1" t="s">
        <v>299</v>
      </c>
      <c r="K107" s="1" t="s">
        <v>298</v>
      </c>
      <c r="N107" s="1" t="s">
        <v>302</v>
      </c>
      <c r="O107" s="1">
        <v>3.95</v>
      </c>
      <c r="P107" s="1" t="s">
        <v>305</v>
      </c>
    </row>
    <row r="108" spans="1:16" x14ac:dyDescent="0.3">
      <c r="A108" s="20" t="s">
        <v>181</v>
      </c>
      <c r="B108" s="1" t="s">
        <v>182</v>
      </c>
      <c r="C108" s="1">
        <v>2017</v>
      </c>
      <c r="D108" s="1">
        <v>2016</v>
      </c>
      <c r="E108" s="1">
        <v>2012</v>
      </c>
      <c r="F108" s="25" t="s">
        <v>183</v>
      </c>
      <c r="G108" s="25" t="s">
        <v>287</v>
      </c>
      <c r="H108" s="1" t="s">
        <v>296</v>
      </c>
      <c r="I108" s="1" t="s">
        <v>297</v>
      </c>
      <c r="J108" s="1" t="s">
        <v>482</v>
      </c>
      <c r="K108" s="1" t="s">
        <v>298</v>
      </c>
      <c r="N108" s="1" t="s">
        <v>301</v>
      </c>
      <c r="O108" s="1">
        <v>2.95</v>
      </c>
      <c r="P108" s="1" t="s">
        <v>305</v>
      </c>
    </row>
    <row r="109" spans="1:16" x14ac:dyDescent="0.3">
      <c r="A109" s="20" t="s">
        <v>181</v>
      </c>
      <c r="B109" s="1" t="s">
        <v>182</v>
      </c>
      <c r="C109" s="1">
        <v>2017</v>
      </c>
      <c r="D109" s="1">
        <v>2016</v>
      </c>
      <c r="E109" s="1">
        <v>2012</v>
      </c>
      <c r="F109" s="25" t="s">
        <v>183</v>
      </c>
      <c r="G109" s="25" t="s">
        <v>287</v>
      </c>
      <c r="H109" s="1" t="s">
        <v>296</v>
      </c>
      <c r="I109" s="1" t="s">
        <v>297</v>
      </c>
      <c r="J109" s="1" t="s">
        <v>482</v>
      </c>
      <c r="K109" s="1" t="s">
        <v>298</v>
      </c>
      <c r="N109" s="1" t="s">
        <v>302</v>
      </c>
      <c r="O109" s="1">
        <v>3.85</v>
      </c>
      <c r="P109" s="1" t="s">
        <v>305</v>
      </c>
    </row>
    <row r="110" spans="1:16" x14ac:dyDescent="0.3">
      <c r="A110" s="20" t="s">
        <v>181</v>
      </c>
      <c r="B110" s="1" t="s">
        <v>182</v>
      </c>
      <c r="C110" s="1">
        <v>2017</v>
      </c>
      <c r="D110" s="1">
        <v>2016</v>
      </c>
      <c r="E110" s="1">
        <v>2012</v>
      </c>
      <c r="F110" s="25" t="s">
        <v>183</v>
      </c>
      <c r="G110" s="25" t="s">
        <v>287</v>
      </c>
      <c r="H110" s="1" t="s">
        <v>296</v>
      </c>
      <c r="I110" s="1" t="s">
        <v>297</v>
      </c>
      <c r="J110" s="1" t="s">
        <v>300</v>
      </c>
      <c r="K110" s="1" t="s">
        <v>298</v>
      </c>
      <c r="N110" s="1" t="s">
        <v>301</v>
      </c>
      <c r="O110" s="1">
        <v>2.9</v>
      </c>
      <c r="P110" s="1" t="s">
        <v>305</v>
      </c>
    </row>
    <row r="111" spans="1:16" x14ac:dyDescent="0.3">
      <c r="A111" s="20" t="s">
        <v>181</v>
      </c>
      <c r="B111" s="1" t="s">
        <v>182</v>
      </c>
      <c r="C111" s="1">
        <v>2017</v>
      </c>
      <c r="D111" s="1">
        <v>2016</v>
      </c>
      <c r="E111" s="1">
        <v>2012</v>
      </c>
      <c r="F111" s="25" t="s">
        <v>183</v>
      </c>
      <c r="G111" s="25" t="s">
        <v>287</v>
      </c>
      <c r="H111" s="1" t="s">
        <v>296</v>
      </c>
      <c r="I111" s="1" t="s">
        <v>297</v>
      </c>
      <c r="J111" s="1" t="s">
        <v>304</v>
      </c>
      <c r="K111" s="1" t="s">
        <v>298</v>
      </c>
      <c r="N111" s="1" t="s">
        <v>302</v>
      </c>
      <c r="O111" s="1">
        <v>3.8</v>
      </c>
      <c r="P111" s="1" t="s">
        <v>305</v>
      </c>
    </row>
    <row r="112" spans="1:16" x14ac:dyDescent="0.3">
      <c r="A112" s="20" t="s">
        <v>181</v>
      </c>
      <c r="B112" s="1" t="s">
        <v>182</v>
      </c>
      <c r="C112" s="1">
        <v>2017</v>
      </c>
      <c r="D112" s="1">
        <v>2016</v>
      </c>
      <c r="E112" s="1">
        <v>2013</v>
      </c>
      <c r="F112" s="25" t="s">
        <v>183</v>
      </c>
      <c r="G112" s="25" t="s">
        <v>287</v>
      </c>
      <c r="H112" s="1" t="s">
        <v>296</v>
      </c>
      <c r="I112" s="1" t="s">
        <v>297</v>
      </c>
      <c r="J112" s="1" t="s">
        <v>299</v>
      </c>
      <c r="K112" s="1" t="s">
        <v>298</v>
      </c>
      <c r="N112" s="1" t="s">
        <v>301</v>
      </c>
      <c r="O112" s="1">
        <v>3.15</v>
      </c>
      <c r="P112" s="1" t="s">
        <v>305</v>
      </c>
    </row>
    <row r="113" spans="1:17" x14ac:dyDescent="0.3">
      <c r="A113" s="20" t="s">
        <v>181</v>
      </c>
      <c r="B113" s="1" t="s">
        <v>182</v>
      </c>
      <c r="C113" s="1">
        <v>2017</v>
      </c>
      <c r="D113" s="1">
        <v>2016</v>
      </c>
      <c r="E113" s="1">
        <v>2013</v>
      </c>
      <c r="F113" s="25" t="s">
        <v>183</v>
      </c>
      <c r="G113" s="25" t="s">
        <v>287</v>
      </c>
      <c r="H113" s="1" t="s">
        <v>296</v>
      </c>
      <c r="I113" s="1" t="s">
        <v>297</v>
      </c>
      <c r="J113" s="1" t="s">
        <v>299</v>
      </c>
      <c r="K113" s="1" t="s">
        <v>298</v>
      </c>
      <c r="N113" s="1" t="s">
        <v>302</v>
      </c>
      <c r="O113" s="1">
        <v>4.05</v>
      </c>
      <c r="P113" s="1" t="s">
        <v>305</v>
      </c>
    </row>
    <row r="114" spans="1:17" x14ac:dyDescent="0.3">
      <c r="A114" s="20" t="s">
        <v>181</v>
      </c>
      <c r="B114" s="1" t="s">
        <v>182</v>
      </c>
      <c r="C114" s="1">
        <v>2017</v>
      </c>
      <c r="D114" s="1">
        <v>2016</v>
      </c>
      <c r="E114" s="1">
        <v>2013</v>
      </c>
      <c r="F114" s="25" t="s">
        <v>183</v>
      </c>
      <c r="G114" s="25" t="s">
        <v>287</v>
      </c>
      <c r="H114" s="1" t="s">
        <v>296</v>
      </c>
      <c r="I114" s="1" t="s">
        <v>297</v>
      </c>
      <c r="J114" s="1" t="s">
        <v>482</v>
      </c>
      <c r="K114" s="1" t="s">
        <v>298</v>
      </c>
      <c r="N114" s="1" t="s">
        <v>301</v>
      </c>
      <c r="O114" s="1">
        <v>3.05</v>
      </c>
      <c r="P114" s="1" t="s">
        <v>305</v>
      </c>
    </row>
    <row r="115" spans="1:17" x14ac:dyDescent="0.3">
      <c r="A115" s="20" t="s">
        <v>181</v>
      </c>
      <c r="B115" s="1" t="s">
        <v>182</v>
      </c>
      <c r="C115" s="1">
        <v>2017</v>
      </c>
      <c r="D115" s="1">
        <v>2016</v>
      </c>
      <c r="E115" s="1">
        <v>2013</v>
      </c>
      <c r="F115" s="25" t="s">
        <v>183</v>
      </c>
      <c r="G115" s="25" t="s">
        <v>287</v>
      </c>
      <c r="H115" s="1" t="s">
        <v>296</v>
      </c>
      <c r="I115" s="1" t="s">
        <v>297</v>
      </c>
      <c r="J115" s="1" t="s">
        <v>482</v>
      </c>
      <c r="K115" s="1" t="s">
        <v>298</v>
      </c>
      <c r="N115" s="1" t="s">
        <v>302</v>
      </c>
      <c r="O115" s="1">
        <v>3.95</v>
      </c>
      <c r="P115" s="1" t="s">
        <v>305</v>
      </c>
    </row>
    <row r="116" spans="1:17" x14ac:dyDescent="0.3">
      <c r="A116" s="20" t="s">
        <v>181</v>
      </c>
      <c r="B116" s="1" t="s">
        <v>182</v>
      </c>
      <c r="C116" s="1">
        <v>2017</v>
      </c>
      <c r="D116" s="1">
        <v>2016</v>
      </c>
      <c r="E116" s="1">
        <v>2013</v>
      </c>
      <c r="F116" s="25" t="s">
        <v>183</v>
      </c>
      <c r="G116" s="25" t="s">
        <v>287</v>
      </c>
      <c r="H116" s="1" t="s">
        <v>296</v>
      </c>
      <c r="I116" s="1" t="s">
        <v>297</v>
      </c>
      <c r="J116" s="1" t="s">
        <v>300</v>
      </c>
      <c r="K116" s="1" t="s">
        <v>298</v>
      </c>
      <c r="N116" s="1" t="s">
        <v>301</v>
      </c>
      <c r="O116" s="1">
        <v>3</v>
      </c>
      <c r="P116" s="1" t="s">
        <v>305</v>
      </c>
    </row>
    <row r="117" spans="1:17" x14ac:dyDescent="0.3">
      <c r="A117" s="20" t="s">
        <v>181</v>
      </c>
      <c r="B117" s="1" t="s">
        <v>182</v>
      </c>
      <c r="C117" s="1">
        <v>2017</v>
      </c>
      <c r="D117" s="1">
        <v>2016</v>
      </c>
      <c r="E117" s="1">
        <v>2013</v>
      </c>
      <c r="F117" s="25" t="s">
        <v>183</v>
      </c>
      <c r="G117" s="25" t="s">
        <v>287</v>
      </c>
      <c r="H117" s="1" t="s">
        <v>296</v>
      </c>
      <c r="I117" s="1" t="s">
        <v>297</v>
      </c>
      <c r="J117" s="1" t="s">
        <v>304</v>
      </c>
      <c r="K117" s="1" t="s">
        <v>298</v>
      </c>
      <c r="N117" s="1" t="s">
        <v>302</v>
      </c>
      <c r="O117" s="1">
        <v>3.9</v>
      </c>
      <c r="P117" s="1" t="s">
        <v>305</v>
      </c>
    </row>
    <row r="118" spans="1:17" x14ac:dyDescent="0.3">
      <c r="A118" s="20" t="s">
        <v>181</v>
      </c>
      <c r="B118" s="1" t="s">
        <v>182</v>
      </c>
      <c r="C118" s="1">
        <v>2017</v>
      </c>
      <c r="D118" s="1">
        <v>2016</v>
      </c>
      <c r="E118" s="1">
        <v>2017</v>
      </c>
      <c r="F118" s="25" t="s">
        <v>183</v>
      </c>
      <c r="G118" s="25" t="s">
        <v>287</v>
      </c>
      <c r="H118" s="1" t="s">
        <v>296</v>
      </c>
      <c r="I118" s="1" t="s">
        <v>297</v>
      </c>
      <c r="J118" s="1" t="s">
        <v>483</v>
      </c>
      <c r="K118" s="1" t="s">
        <v>298</v>
      </c>
      <c r="N118" s="1" t="s">
        <v>301</v>
      </c>
      <c r="O118" s="1">
        <v>3.57</v>
      </c>
      <c r="P118" s="1" t="s">
        <v>305</v>
      </c>
    </row>
    <row r="119" spans="1:17" x14ac:dyDescent="0.3">
      <c r="A119" s="20" t="s">
        <v>181</v>
      </c>
      <c r="B119" s="1" t="s">
        <v>182</v>
      </c>
      <c r="C119" s="1">
        <v>2017</v>
      </c>
      <c r="D119" s="1">
        <v>2016</v>
      </c>
      <c r="E119" s="1">
        <v>2017</v>
      </c>
      <c r="F119" s="25" t="s">
        <v>183</v>
      </c>
      <c r="G119" s="25" t="s">
        <v>287</v>
      </c>
      <c r="H119" s="1" t="s">
        <v>296</v>
      </c>
      <c r="I119" s="1" t="s">
        <v>297</v>
      </c>
      <c r="J119" s="1" t="s">
        <v>483</v>
      </c>
      <c r="K119" s="1" t="s">
        <v>298</v>
      </c>
      <c r="N119" s="1" t="s">
        <v>302</v>
      </c>
      <c r="O119" s="1">
        <v>4.47</v>
      </c>
      <c r="P119" s="1" t="s">
        <v>305</v>
      </c>
    </row>
    <row r="120" spans="1:17" x14ac:dyDescent="0.3">
      <c r="A120" s="20" t="s">
        <v>181</v>
      </c>
      <c r="B120" s="1" t="s">
        <v>182</v>
      </c>
      <c r="C120" s="1">
        <v>2017</v>
      </c>
      <c r="D120" s="1">
        <v>2016</v>
      </c>
      <c r="E120" s="1">
        <v>2017</v>
      </c>
      <c r="F120" s="25" t="s">
        <v>183</v>
      </c>
      <c r="G120" s="25" t="s">
        <v>287</v>
      </c>
      <c r="H120" s="1" t="s">
        <v>296</v>
      </c>
      <c r="I120" s="1" t="s">
        <v>297</v>
      </c>
      <c r="J120" s="1" t="s">
        <v>483</v>
      </c>
      <c r="K120" s="1" t="s">
        <v>298</v>
      </c>
      <c r="N120" s="1" t="s">
        <v>301</v>
      </c>
      <c r="O120" s="1">
        <v>4</v>
      </c>
      <c r="P120" s="1" t="s">
        <v>305</v>
      </c>
    </row>
    <row r="121" spans="1:17" x14ac:dyDescent="0.3">
      <c r="A121" s="20" t="s">
        <v>181</v>
      </c>
      <c r="B121" s="1" t="s">
        <v>182</v>
      </c>
      <c r="C121" s="1">
        <v>2017</v>
      </c>
      <c r="D121" s="1">
        <v>2016</v>
      </c>
      <c r="E121" s="1">
        <v>2017</v>
      </c>
      <c r="F121" s="25" t="s">
        <v>183</v>
      </c>
      <c r="G121" s="25" t="s">
        <v>287</v>
      </c>
      <c r="H121" s="1" t="s">
        <v>296</v>
      </c>
      <c r="I121" s="1" t="s">
        <v>297</v>
      </c>
      <c r="J121" s="1" t="s">
        <v>483</v>
      </c>
      <c r="K121" s="1" t="s">
        <v>298</v>
      </c>
      <c r="N121" s="1" t="s">
        <v>302</v>
      </c>
      <c r="O121" s="1">
        <v>4.9000000000000004</v>
      </c>
      <c r="P121" s="1" t="s">
        <v>305</v>
      </c>
    </row>
    <row r="122" spans="1:17" x14ac:dyDescent="0.3">
      <c r="A122" s="20" t="s">
        <v>181</v>
      </c>
      <c r="B122" s="1" t="s">
        <v>182</v>
      </c>
      <c r="C122" s="1">
        <v>2002</v>
      </c>
      <c r="D122" s="1">
        <v>2002</v>
      </c>
      <c r="E122" s="25" t="s">
        <v>194</v>
      </c>
      <c r="F122" s="1" t="s">
        <v>381</v>
      </c>
      <c r="G122" s="1" t="s">
        <v>434</v>
      </c>
      <c r="H122" s="1" t="s">
        <v>288</v>
      </c>
      <c r="O122" s="1">
        <v>4.5</v>
      </c>
      <c r="P122" s="1" t="s">
        <v>435</v>
      </c>
    </row>
    <row r="123" spans="1:17" x14ac:dyDescent="0.3">
      <c r="A123" s="20" t="s">
        <v>181</v>
      </c>
      <c r="B123" s="1" t="s">
        <v>182</v>
      </c>
      <c r="C123" s="1">
        <v>2002</v>
      </c>
      <c r="D123" s="1">
        <v>2002</v>
      </c>
      <c r="E123" s="25" t="s">
        <v>194</v>
      </c>
      <c r="F123" s="1" t="s">
        <v>381</v>
      </c>
      <c r="G123" s="1" t="s">
        <v>434</v>
      </c>
      <c r="H123" s="1" t="s">
        <v>296</v>
      </c>
      <c r="I123" s="1" t="s">
        <v>297</v>
      </c>
      <c r="J123" s="1" t="s">
        <v>436</v>
      </c>
      <c r="K123" s="1" t="s">
        <v>298</v>
      </c>
      <c r="O123" s="1">
        <v>2.75</v>
      </c>
      <c r="P123" s="1" t="s">
        <v>305</v>
      </c>
    </row>
    <row r="124" spans="1:17" x14ac:dyDescent="0.3">
      <c r="A124" s="20" t="s">
        <v>181</v>
      </c>
      <c r="B124" s="1" t="s">
        <v>182</v>
      </c>
      <c r="C124" s="1">
        <v>2002</v>
      </c>
      <c r="D124" s="1">
        <v>2002</v>
      </c>
      <c r="E124" s="25" t="s">
        <v>194</v>
      </c>
      <c r="F124" s="1" t="s">
        <v>381</v>
      </c>
      <c r="G124" s="1" t="s">
        <v>434</v>
      </c>
      <c r="H124" s="1" t="s">
        <v>296</v>
      </c>
      <c r="I124" s="1" t="s">
        <v>297</v>
      </c>
      <c r="J124" s="1" t="s">
        <v>437</v>
      </c>
      <c r="K124" s="1" t="s">
        <v>298</v>
      </c>
      <c r="O124" s="1">
        <v>2.0499999999999998</v>
      </c>
      <c r="P124" s="1" t="s">
        <v>305</v>
      </c>
    </row>
    <row r="125" spans="1:17" x14ac:dyDescent="0.3">
      <c r="A125" s="20" t="s">
        <v>181</v>
      </c>
      <c r="B125" s="1" t="s">
        <v>182</v>
      </c>
      <c r="C125" s="1">
        <v>2005</v>
      </c>
      <c r="D125" s="1">
        <v>2005</v>
      </c>
      <c r="E125" s="25" t="s">
        <v>194</v>
      </c>
      <c r="F125" s="1" t="s">
        <v>381</v>
      </c>
      <c r="G125" s="1" t="s">
        <v>434</v>
      </c>
      <c r="H125" s="1" t="s">
        <v>288</v>
      </c>
      <c r="O125" s="1">
        <v>15</v>
      </c>
      <c r="P125" s="1" t="s">
        <v>435</v>
      </c>
    </row>
    <row r="126" spans="1:17" x14ac:dyDescent="0.3">
      <c r="A126" s="20" t="s">
        <v>181</v>
      </c>
      <c r="B126" s="1" t="s">
        <v>182</v>
      </c>
      <c r="C126" s="1">
        <v>2005</v>
      </c>
      <c r="D126" s="1">
        <v>2005</v>
      </c>
      <c r="E126" s="25" t="s">
        <v>194</v>
      </c>
      <c r="F126" s="1" t="s">
        <v>381</v>
      </c>
      <c r="G126" s="1" t="s">
        <v>434</v>
      </c>
      <c r="H126" s="1" t="s">
        <v>296</v>
      </c>
      <c r="I126" s="1" t="s">
        <v>297</v>
      </c>
      <c r="J126" s="1" t="s">
        <v>602</v>
      </c>
      <c r="K126" s="1" t="s">
        <v>298</v>
      </c>
      <c r="O126" s="1">
        <v>4.2</v>
      </c>
      <c r="P126" s="1" t="s">
        <v>305</v>
      </c>
      <c r="Q126" s="1" t="s">
        <v>439</v>
      </c>
    </row>
    <row r="127" spans="1:17" x14ac:dyDescent="0.3">
      <c r="A127" s="20" t="s">
        <v>181</v>
      </c>
      <c r="B127" s="1" t="s">
        <v>182</v>
      </c>
      <c r="C127" s="1">
        <v>2005</v>
      </c>
      <c r="D127" s="1">
        <v>2005</v>
      </c>
      <c r="E127" s="25" t="s">
        <v>194</v>
      </c>
      <c r="F127" s="1" t="s">
        <v>381</v>
      </c>
      <c r="G127" s="1" t="s">
        <v>434</v>
      </c>
      <c r="H127" s="1" t="s">
        <v>296</v>
      </c>
      <c r="I127" s="1" t="s">
        <v>297</v>
      </c>
      <c r="J127" s="1" t="s">
        <v>599</v>
      </c>
      <c r="K127" s="1" t="s">
        <v>298</v>
      </c>
      <c r="O127" s="1">
        <v>4.1500000000000004</v>
      </c>
      <c r="P127" s="1" t="s">
        <v>305</v>
      </c>
    </row>
    <row r="128" spans="1:17" x14ac:dyDescent="0.3">
      <c r="A128" s="20" t="s">
        <v>181</v>
      </c>
      <c r="B128" s="1" t="s">
        <v>182</v>
      </c>
      <c r="C128" s="1">
        <v>2005</v>
      </c>
      <c r="D128" s="1">
        <v>2005</v>
      </c>
      <c r="E128" s="25" t="s">
        <v>194</v>
      </c>
      <c r="F128" s="1" t="s">
        <v>381</v>
      </c>
      <c r="G128" s="1" t="s">
        <v>434</v>
      </c>
      <c r="H128" s="1" t="s">
        <v>296</v>
      </c>
      <c r="I128" s="1" t="s">
        <v>297</v>
      </c>
      <c r="J128" s="1" t="s">
        <v>600</v>
      </c>
      <c r="K128" s="1" t="s">
        <v>298</v>
      </c>
      <c r="O128" s="1">
        <v>4.0999999999999996</v>
      </c>
      <c r="P128" s="1" t="s">
        <v>305</v>
      </c>
    </row>
    <row r="129" spans="1:16" x14ac:dyDescent="0.3">
      <c r="A129" s="20" t="s">
        <v>181</v>
      </c>
      <c r="B129" s="1" t="s">
        <v>182</v>
      </c>
      <c r="C129" s="1">
        <v>2005</v>
      </c>
      <c r="D129" s="1">
        <v>2005</v>
      </c>
      <c r="E129" s="25" t="s">
        <v>194</v>
      </c>
      <c r="F129" s="1" t="s">
        <v>381</v>
      </c>
      <c r="G129" s="1" t="s">
        <v>434</v>
      </c>
      <c r="H129" s="1" t="s">
        <v>296</v>
      </c>
      <c r="I129" s="1" t="s">
        <v>297</v>
      </c>
      <c r="J129" s="1" t="s">
        <v>601</v>
      </c>
      <c r="K129" s="1" t="s">
        <v>298</v>
      </c>
      <c r="O129" s="1">
        <v>4</v>
      </c>
      <c r="P129" s="1" t="s">
        <v>305</v>
      </c>
    </row>
    <row r="130" spans="1:16" x14ac:dyDescent="0.3">
      <c r="A130" s="20" t="s">
        <v>181</v>
      </c>
      <c r="B130" s="1" t="s">
        <v>182</v>
      </c>
      <c r="C130" s="1">
        <v>2010</v>
      </c>
      <c r="D130" s="1">
        <v>2010</v>
      </c>
      <c r="E130" s="25" t="s">
        <v>194</v>
      </c>
      <c r="F130" s="1" t="s">
        <v>381</v>
      </c>
      <c r="G130" s="1" t="s">
        <v>434</v>
      </c>
      <c r="H130" s="1" t="s">
        <v>288</v>
      </c>
      <c r="O130" s="1">
        <v>19.5</v>
      </c>
      <c r="P130" s="1" t="s">
        <v>435</v>
      </c>
    </row>
    <row r="131" spans="1:16" x14ac:dyDescent="0.3">
      <c r="A131" s="20" t="s">
        <v>181</v>
      </c>
      <c r="B131" s="1" t="s">
        <v>182</v>
      </c>
      <c r="C131" s="1">
        <v>2010</v>
      </c>
      <c r="D131" s="1">
        <v>2010</v>
      </c>
      <c r="E131" s="25" t="s">
        <v>194</v>
      </c>
      <c r="F131" s="1" t="s">
        <v>381</v>
      </c>
      <c r="G131" s="1" t="s">
        <v>434</v>
      </c>
      <c r="H131" s="1" t="s">
        <v>296</v>
      </c>
      <c r="J131" s="1" t="s">
        <v>602</v>
      </c>
      <c r="K131" s="1" t="s">
        <v>298</v>
      </c>
      <c r="O131" s="1">
        <v>4.2</v>
      </c>
      <c r="P131" s="1" t="s">
        <v>305</v>
      </c>
    </row>
    <row r="132" spans="1:16" x14ac:dyDescent="0.3">
      <c r="A132" s="20" t="s">
        <v>181</v>
      </c>
      <c r="B132" s="1" t="s">
        <v>182</v>
      </c>
      <c r="C132" s="1">
        <v>2010</v>
      </c>
      <c r="D132" s="1">
        <v>2010</v>
      </c>
      <c r="E132" s="25" t="s">
        <v>194</v>
      </c>
      <c r="F132" s="1" t="s">
        <v>381</v>
      </c>
      <c r="G132" s="1" t="s">
        <v>434</v>
      </c>
      <c r="H132" s="1" t="s">
        <v>296</v>
      </c>
      <c r="J132" s="1" t="s">
        <v>599</v>
      </c>
      <c r="K132" s="1" t="s">
        <v>298</v>
      </c>
      <c r="O132" s="1">
        <v>4.1500000000000004</v>
      </c>
      <c r="P132" s="1" t="s">
        <v>305</v>
      </c>
    </row>
    <row r="133" spans="1:16" x14ac:dyDescent="0.3">
      <c r="A133" s="20" t="s">
        <v>181</v>
      </c>
      <c r="B133" s="1" t="s">
        <v>182</v>
      </c>
      <c r="C133" s="1">
        <v>2010</v>
      </c>
      <c r="D133" s="1">
        <v>2010</v>
      </c>
      <c r="E133" s="25" t="s">
        <v>194</v>
      </c>
      <c r="F133" s="1" t="s">
        <v>381</v>
      </c>
      <c r="G133" s="1" t="s">
        <v>434</v>
      </c>
      <c r="H133" s="1" t="s">
        <v>296</v>
      </c>
      <c r="J133" s="1" t="s">
        <v>600</v>
      </c>
      <c r="K133" s="1" t="s">
        <v>298</v>
      </c>
      <c r="O133" s="1">
        <v>4.0999999999999996</v>
      </c>
      <c r="P133" s="1" t="s">
        <v>305</v>
      </c>
    </row>
    <row r="134" spans="1:16" x14ac:dyDescent="0.3">
      <c r="A134" s="20" t="s">
        <v>181</v>
      </c>
      <c r="B134" s="1" t="s">
        <v>182</v>
      </c>
      <c r="C134" s="1">
        <v>2010</v>
      </c>
      <c r="D134" s="1">
        <v>2010</v>
      </c>
      <c r="E134" s="25" t="s">
        <v>194</v>
      </c>
      <c r="F134" s="1" t="s">
        <v>381</v>
      </c>
      <c r="G134" s="1" t="s">
        <v>434</v>
      </c>
      <c r="H134" s="1" t="s">
        <v>296</v>
      </c>
      <c r="J134" s="1" t="s">
        <v>601</v>
      </c>
      <c r="K134" s="1" t="s">
        <v>298</v>
      </c>
      <c r="O134" s="1">
        <v>4</v>
      </c>
      <c r="P134" s="1" t="s">
        <v>305</v>
      </c>
    </row>
    <row r="135" spans="1:16" x14ac:dyDescent="0.3">
      <c r="A135" s="20" t="s">
        <v>181</v>
      </c>
      <c r="B135" s="1" t="s">
        <v>182</v>
      </c>
      <c r="C135" s="1">
        <v>2015</v>
      </c>
      <c r="D135" s="1">
        <v>2015</v>
      </c>
      <c r="E135" s="25" t="s">
        <v>194</v>
      </c>
      <c r="F135" s="1" t="s">
        <v>381</v>
      </c>
      <c r="G135" s="1" t="s">
        <v>434</v>
      </c>
      <c r="H135" s="1" t="s">
        <v>288</v>
      </c>
      <c r="O135" s="1">
        <v>22.5</v>
      </c>
      <c r="P135" s="1" t="s">
        <v>435</v>
      </c>
    </row>
    <row r="136" spans="1:16" x14ac:dyDescent="0.3">
      <c r="A136" s="20" t="s">
        <v>181</v>
      </c>
      <c r="B136" s="1" t="s">
        <v>182</v>
      </c>
      <c r="C136" s="1">
        <v>2015</v>
      </c>
      <c r="D136" s="1">
        <v>2015</v>
      </c>
      <c r="E136" s="25" t="s">
        <v>194</v>
      </c>
      <c r="F136" s="1" t="s">
        <v>381</v>
      </c>
      <c r="G136" s="1" t="s">
        <v>434</v>
      </c>
      <c r="H136" s="1" t="s">
        <v>296</v>
      </c>
      <c r="J136" s="1" t="s">
        <v>602</v>
      </c>
      <c r="K136" s="1" t="s">
        <v>298</v>
      </c>
      <c r="O136" s="1">
        <v>4.3</v>
      </c>
      <c r="P136" s="1" t="s">
        <v>305</v>
      </c>
    </row>
    <row r="137" spans="1:16" x14ac:dyDescent="0.3">
      <c r="A137" s="20" t="s">
        <v>181</v>
      </c>
      <c r="B137" s="1" t="s">
        <v>182</v>
      </c>
      <c r="C137" s="1">
        <v>2015</v>
      </c>
      <c r="D137" s="1">
        <v>2015</v>
      </c>
      <c r="E137" s="25" t="s">
        <v>194</v>
      </c>
      <c r="F137" s="1" t="s">
        <v>381</v>
      </c>
      <c r="G137" s="1" t="s">
        <v>434</v>
      </c>
      <c r="H137" s="1" t="s">
        <v>296</v>
      </c>
      <c r="J137" s="1" t="s">
        <v>440</v>
      </c>
      <c r="K137" s="1" t="s">
        <v>298</v>
      </c>
      <c r="O137" s="1">
        <v>4.25</v>
      </c>
      <c r="P137" s="1" t="s">
        <v>305</v>
      </c>
    </row>
    <row r="138" spans="1:16" x14ac:dyDescent="0.3">
      <c r="A138" s="20" t="s">
        <v>181</v>
      </c>
      <c r="B138" s="1" t="s">
        <v>182</v>
      </c>
      <c r="C138" s="1">
        <v>2015</v>
      </c>
      <c r="D138" s="1">
        <v>2015</v>
      </c>
      <c r="E138" s="25" t="s">
        <v>194</v>
      </c>
      <c r="F138" s="1" t="s">
        <v>381</v>
      </c>
      <c r="G138" s="1" t="s">
        <v>434</v>
      </c>
      <c r="H138" s="1" t="s">
        <v>296</v>
      </c>
      <c r="J138" s="1" t="s">
        <v>441</v>
      </c>
      <c r="K138" s="1" t="s">
        <v>298</v>
      </c>
      <c r="O138" s="1">
        <v>4.2</v>
      </c>
      <c r="P138" s="1" t="s">
        <v>305</v>
      </c>
    </row>
    <row r="139" spans="1:16" x14ac:dyDescent="0.3">
      <c r="A139" s="20" t="s">
        <v>181</v>
      </c>
      <c r="B139" s="1" t="s">
        <v>182</v>
      </c>
      <c r="C139" s="1">
        <v>2015</v>
      </c>
      <c r="D139" s="1">
        <v>2015</v>
      </c>
      <c r="E139" s="25" t="s">
        <v>194</v>
      </c>
      <c r="F139" s="1" t="s">
        <v>381</v>
      </c>
      <c r="G139" s="1" t="s">
        <v>434</v>
      </c>
      <c r="H139" s="1" t="s">
        <v>296</v>
      </c>
      <c r="J139" s="1" t="s">
        <v>438</v>
      </c>
      <c r="K139" s="1" t="s">
        <v>298</v>
      </c>
      <c r="O139" s="1">
        <v>4.0999999999999996</v>
      </c>
      <c r="P139" s="1" t="s">
        <v>305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tabSelected="1" workbookViewId="0">
      <pane xSplit="4" ySplit="2" topLeftCell="AE51" activePane="bottomRight" state="frozen"/>
      <selection pane="topRight" activeCell="E1" sqref="E1"/>
      <selection pane="bottomLeft" activeCell="A3" sqref="A3"/>
      <selection pane="bottomRight" activeCell="D71" sqref="D71"/>
    </sheetView>
  </sheetViews>
  <sheetFormatPr defaultColWidth="8.77734375" defaultRowHeight="14.4" x14ac:dyDescent="0.3"/>
  <cols>
    <col min="1" max="3" width="8.77734375" style="1"/>
    <col min="4" max="4" width="19.21875" style="1" customWidth="1"/>
    <col min="5" max="5" width="11.21875" style="1" bestFit="1" customWidth="1"/>
    <col min="6" max="6" width="8.77734375" style="1"/>
    <col min="7" max="7" width="10.33203125" style="1" customWidth="1"/>
    <col min="8" max="11" width="10.44140625" style="1" bestFit="1" customWidth="1"/>
    <col min="12" max="15" width="8.77734375" style="1"/>
    <col min="16" max="17" width="9.6640625" style="1" bestFit="1" customWidth="1"/>
    <col min="18" max="18" width="10.33203125" style="1" bestFit="1" customWidth="1"/>
    <col min="19" max="20" width="10.44140625" style="1" bestFit="1" customWidth="1"/>
    <col min="21" max="21" width="9.6640625" style="1" bestFit="1" customWidth="1"/>
    <col min="22" max="22" width="9.77734375" style="1" bestFit="1" customWidth="1"/>
    <col min="23" max="24" width="8.77734375" style="1"/>
    <col min="25" max="25" width="10.6640625" style="1" bestFit="1" customWidth="1"/>
    <col min="26" max="26" width="12" style="1" customWidth="1"/>
    <col min="27" max="27" width="11.6640625" style="1" bestFit="1" customWidth="1"/>
    <col min="28" max="28" width="8.77734375" style="1"/>
    <col min="29" max="29" width="10.6640625" style="1" bestFit="1" customWidth="1"/>
    <col min="30" max="30" width="11" style="1" customWidth="1"/>
    <col min="31" max="35" width="10.6640625" style="1" bestFit="1" customWidth="1"/>
    <col min="36" max="36" width="10.44140625" style="1" bestFit="1" customWidth="1"/>
    <col min="37" max="16384" width="8.77734375" style="1"/>
  </cols>
  <sheetData>
    <row r="1" spans="1:43" x14ac:dyDescent="0.3">
      <c r="F1" s="10"/>
      <c r="G1" s="11" t="s">
        <v>33</v>
      </c>
      <c r="H1" s="12"/>
      <c r="I1" s="12"/>
      <c r="J1" s="12"/>
      <c r="K1" s="12"/>
      <c r="L1" s="12"/>
      <c r="M1" s="10"/>
      <c r="N1" s="10"/>
      <c r="O1" s="10"/>
      <c r="P1" s="10"/>
      <c r="Q1" s="13"/>
      <c r="R1" s="13"/>
      <c r="S1" s="13"/>
      <c r="T1" s="13"/>
      <c r="U1" s="13"/>
      <c r="V1" s="13"/>
      <c r="W1" s="13"/>
      <c r="X1" s="13"/>
      <c r="Y1" s="13"/>
      <c r="Z1" s="14" t="s">
        <v>34</v>
      </c>
      <c r="AA1" s="13"/>
      <c r="AB1" s="13"/>
      <c r="AC1" s="13"/>
      <c r="AD1" s="14" t="s">
        <v>35</v>
      </c>
      <c r="AE1" s="13"/>
      <c r="AF1" s="13"/>
      <c r="AG1" s="13"/>
      <c r="AH1" s="13"/>
      <c r="AI1" s="13"/>
    </row>
    <row r="2" spans="1:43" x14ac:dyDescent="0.3">
      <c r="A2" s="2" t="s">
        <v>0</v>
      </c>
      <c r="B2" s="2" t="s">
        <v>1</v>
      </c>
      <c r="C2" s="2" t="s">
        <v>36</v>
      </c>
      <c r="D2" s="2" t="s">
        <v>37</v>
      </c>
      <c r="E2" s="2" t="s">
        <v>24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67</v>
      </c>
      <c r="AJ2" s="5" t="s">
        <v>82</v>
      </c>
    </row>
    <row r="3" spans="1:43" x14ac:dyDescent="0.3">
      <c r="A3" s="64" t="s">
        <v>181</v>
      </c>
      <c r="B3" s="1" t="s">
        <v>182</v>
      </c>
      <c r="C3" s="1" t="s">
        <v>68</v>
      </c>
      <c r="D3" s="1" t="s">
        <v>241</v>
      </c>
      <c r="E3" s="1" t="s">
        <v>183</v>
      </c>
      <c r="F3" s="10"/>
      <c r="G3" s="10">
        <v>514109</v>
      </c>
      <c r="H3" s="10">
        <v>521527</v>
      </c>
      <c r="I3" s="10">
        <v>536521</v>
      </c>
      <c r="J3" s="10">
        <v>576066</v>
      </c>
      <c r="K3" s="10">
        <v>588212</v>
      </c>
      <c r="L3" s="10"/>
      <c r="M3" s="10"/>
      <c r="N3" s="10"/>
      <c r="O3" s="10"/>
      <c r="P3" s="10"/>
      <c r="Q3" s="13"/>
      <c r="R3" s="13">
        <v>853317</v>
      </c>
      <c r="S3" s="13">
        <v>850196</v>
      </c>
      <c r="T3" s="13">
        <v>830634</v>
      </c>
      <c r="U3" s="13"/>
      <c r="V3" s="13"/>
      <c r="W3" s="13"/>
      <c r="X3" s="13"/>
      <c r="Y3" s="13"/>
      <c r="Z3" s="13"/>
      <c r="AA3" s="13">
        <v>910982</v>
      </c>
      <c r="AB3" s="13"/>
      <c r="AC3" s="13"/>
      <c r="AD3" s="13">
        <v>1082860</v>
      </c>
      <c r="AE3" s="13">
        <v>1146848</v>
      </c>
      <c r="AF3" s="13">
        <v>1326221</v>
      </c>
      <c r="AG3" s="13">
        <v>1478664</v>
      </c>
      <c r="AH3" s="13">
        <v>1482292</v>
      </c>
      <c r="AI3" s="13">
        <v>1514576</v>
      </c>
      <c r="AJ3" s="13">
        <v>1574196</v>
      </c>
    </row>
    <row r="4" spans="1:43" x14ac:dyDescent="0.3">
      <c r="A4" s="64" t="s">
        <v>181</v>
      </c>
      <c r="B4" s="1" t="s">
        <v>182</v>
      </c>
      <c r="C4" s="1" t="s">
        <v>68</v>
      </c>
      <c r="D4" s="1" t="s">
        <v>321</v>
      </c>
      <c r="E4" s="1" t="s">
        <v>183</v>
      </c>
      <c r="F4" s="10"/>
      <c r="G4" s="10">
        <v>126347</v>
      </c>
      <c r="H4" s="10">
        <v>129097</v>
      </c>
      <c r="I4" s="10">
        <v>133246</v>
      </c>
      <c r="J4" s="10">
        <v>142921</v>
      </c>
      <c r="K4" s="10">
        <v>137504</v>
      </c>
      <c r="L4" s="10"/>
      <c r="M4" s="10"/>
      <c r="N4" s="10"/>
      <c r="O4" s="10"/>
      <c r="P4" s="10"/>
      <c r="Q4" s="13"/>
      <c r="R4" s="13">
        <v>228935</v>
      </c>
      <c r="S4" s="13">
        <v>219908</v>
      </c>
      <c r="T4" s="13">
        <v>239600</v>
      </c>
      <c r="U4" s="13"/>
      <c r="V4" s="13"/>
      <c r="W4" s="13"/>
      <c r="X4" s="13"/>
      <c r="Y4" s="13"/>
      <c r="Z4" s="13"/>
      <c r="AA4" s="13">
        <v>255664</v>
      </c>
      <c r="AB4" s="13"/>
      <c r="AC4" s="13"/>
      <c r="AD4" s="13">
        <v>366793</v>
      </c>
      <c r="AE4" s="13">
        <v>380801</v>
      </c>
      <c r="AF4" s="13">
        <v>418907</v>
      </c>
      <c r="AG4" s="13">
        <v>472438</v>
      </c>
      <c r="AH4" s="13">
        <v>493437</v>
      </c>
      <c r="AI4" s="13">
        <v>501598</v>
      </c>
      <c r="AJ4" s="13">
        <v>470160</v>
      </c>
    </row>
    <row r="5" spans="1:43" x14ac:dyDescent="0.3">
      <c r="A5" s="64" t="s">
        <v>181</v>
      </c>
      <c r="B5" s="1" t="s">
        <v>182</v>
      </c>
      <c r="C5" s="1" t="s">
        <v>68</v>
      </c>
      <c r="D5" s="1" t="s">
        <v>322</v>
      </c>
      <c r="E5" s="1" t="s">
        <v>183</v>
      </c>
      <c r="F5" s="10"/>
      <c r="G5" s="10">
        <v>349477</v>
      </c>
      <c r="H5" s="10">
        <v>320404</v>
      </c>
      <c r="I5" s="10">
        <v>364199</v>
      </c>
      <c r="J5" s="10">
        <v>326452</v>
      </c>
      <c r="K5" s="10">
        <v>293573</v>
      </c>
      <c r="L5" s="10"/>
      <c r="M5" s="10"/>
      <c r="N5" s="10"/>
      <c r="O5" s="10"/>
      <c r="P5" s="10"/>
      <c r="Q5" s="13"/>
      <c r="R5" s="13">
        <v>383692</v>
      </c>
      <c r="S5" s="13">
        <v>350937</v>
      </c>
      <c r="T5" s="13">
        <v>295358</v>
      </c>
      <c r="U5" s="13"/>
      <c r="V5" s="13"/>
      <c r="W5" s="13"/>
      <c r="X5" s="13"/>
      <c r="Y5" s="13"/>
      <c r="Z5" s="13"/>
      <c r="AA5" s="13">
        <v>337620</v>
      </c>
      <c r="AB5" s="13"/>
      <c r="AC5" s="13"/>
      <c r="AD5" s="13">
        <v>523506</v>
      </c>
      <c r="AE5" s="13">
        <v>465763</v>
      </c>
      <c r="AF5" s="13">
        <v>590876</v>
      </c>
      <c r="AG5" s="13">
        <v>615102</v>
      </c>
      <c r="AH5" s="13">
        <v>524261</v>
      </c>
      <c r="AI5" s="13">
        <v>496760</v>
      </c>
      <c r="AJ5" s="13">
        <v>529172</v>
      </c>
    </row>
    <row r="6" spans="1:43" x14ac:dyDescent="0.3">
      <c r="A6" s="64" t="s">
        <v>181</v>
      </c>
      <c r="B6" s="1" t="s">
        <v>182</v>
      </c>
      <c r="C6" s="1" t="s">
        <v>68</v>
      </c>
      <c r="D6" s="1" t="s">
        <v>486</v>
      </c>
      <c r="E6" s="1" t="s">
        <v>183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31445</v>
      </c>
      <c r="AH6" s="13">
        <v>37065</v>
      </c>
      <c r="AI6" s="13">
        <v>38608</v>
      </c>
      <c r="AJ6" s="13">
        <v>44230</v>
      </c>
    </row>
    <row r="7" spans="1:43" x14ac:dyDescent="0.3">
      <c r="A7" s="64" t="s">
        <v>181</v>
      </c>
      <c r="B7" s="1" t="s">
        <v>182</v>
      </c>
      <c r="C7" s="1" t="s">
        <v>68</v>
      </c>
      <c r="D7" s="1" t="s">
        <v>323</v>
      </c>
      <c r="E7" s="1" t="s">
        <v>183</v>
      </c>
      <c r="F7" s="10"/>
      <c r="G7" s="10">
        <v>4166</v>
      </c>
      <c r="H7" s="10">
        <v>4671</v>
      </c>
      <c r="I7" s="10">
        <v>4338</v>
      </c>
      <c r="J7" s="10">
        <v>4547</v>
      </c>
      <c r="K7" s="10">
        <v>4779</v>
      </c>
      <c r="L7" s="10"/>
      <c r="M7" s="10"/>
      <c r="N7" s="10"/>
      <c r="O7" s="10"/>
      <c r="P7" s="10"/>
      <c r="Q7" s="13"/>
      <c r="R7" s="13">
        <v>300</v>
      </c>
      <c r="S7" s="13">
        <v>100</v>
      </c>
      <c r="T7" s="1">
        <v>0</v>
      </c>
      <c r="U7" s="13"/>
      <c r="V7" s="13"/>
      <c r="W7" s="13"/>
      <c r="X7" s="13"/>
      <c r="Y7" s="13"/>
      <c r="Z7" s="13"/>
      <c r="AA7" s="13">
        <f>101797+16148</f>
        <v>117945</v>
      </c>
      <c r="AB7" s="13"/>
      <c r="AC7" s="13"/>
      <c r="AD7" s="13">
        <v>116828</v>
      </c>
      <c r="AE7" s="13">
        <v>126678</v>
      </c>
      <c r="AF7" s="13">
        <v>121649</v>
      </c>
      <c r="AG7" s="13">
        <v>123141</v>
      </c>
      <c r="AH7" s="13">
        <f>11092+119165</f>
        <v>130257</v>
      </c>
      <c r="AI7" s="13">
        <f>119620+8073</f>
        <v>127693</v>
      </c>
      <c r="AJ7" s="13">
        <f>120938+18355</f>
        <v>139293</v>
      </c>
    </row>
    <row r="8" spans="1:43" x14ac:dyDescent="0.3">
      <c r="A8" s="64" t="s">
        <v>181</v>
      </c>
      <c r="B8" s="1" t="s">
        <v>182</v>
      </c>
      <c r="C8" s="1" t="s">
        <v>68</v>
      </c>
      <c r="D8" s="1" t="s">
        <v>318</v>
      </c>
      <c r="E8" s="1" t="s">
        <v>183</v>
      </c>
      <c r="F8" s="10"/>
      <c r="G8" s="10">
        <v>62719</v>
      </c>
      <c r="H8" s="10">
        <v>62638</v>
      </c>
      <c r="I8" s="10">
        <v>74857</v>
      </c>
      <c r="J8" s="10">
        <v>79972</v>
      </c>
      <c r="K8" s="10">
        <v>81484</v>
      </c>
      <c r="L8" s="10"/>
      <c r="M8" s="10"/>
      <c r="N8" s="10"/>
      <c r="O8" s="10"/>
      <c r="P8" s="10"/>
      <c r="Q8" s="13"/>
      <c r="R8" s="13">
        <v>83801</v>
      </c>
      <c r="S8" s="13">
        <v>890402</v>
      </c>
      <c r="T8" s="13">
        <v>84053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43" x14ac:dyDescent="0.3">
      <c r="A9" s="64" t="s">
        <v>181</v>
      </c>
      <c r="B9" s="1" t="s">
        <v>182</v>
      </c>
      <c r="C9" s="7" t="s">
        <v>68</v>
      </c>
      <c r="D9" s="7" t="s">
        <v>69</v>
      </c>
      <c r="E9" s="1" t="s">
        <v>183</v>
      </c>
      <c r="F9" s="15"/>
      <c r="G9" s="15">
        <f t="shared" ref="F9:X9" si="0">SUM(G3:G8)</f>
        <v>1056818</v>
      </c>
      <c r="H9" s="15">
        <f t="shared" si="0"/>
        <v>1038337</v>
      </c>
      <c r="I9" s="15">
        <f t="shared" si="0"/>
        <v>1113161</v>
      </c>
      <c r="J9" s="15">
        <f t="shared" si="0"/>
        <v>1129958</v>
      </c>
      <c r="K9" s="15">
        <f t="shared" si="0"/>
        <v>1105552</v>
      </c>
      <c r="L9" s="15"/>
      <c r="M9" s="15"/>
      <c r="N9" s="15"/>
      <c r="O9" s="15"/>
      <c r="P9" s="15"/>
      <c r="Q9" s="15"/>
      <c r="R9" s="15">
        <f t="shared" si="0"/>
        <v>1550045</v>
      </c>
      <c r="S9" s="15">
        <f t="shared" si="0"/>
        <v>2311543</v>
      </c>
      <c r="T9" s="15">
        <f t="shared" si="0"/>
        <v>1449645</v>
      </c>
      <c r="U9" s="15"/>
      <c r="V9" s="15"/>
      <c r="W9" s="15"/>
      <c r="X9" s="15"/>
      <c r="Y9" s="15">
        <v>1723022</v>
      </c>
      <c r="Z9" s="15">
        <v>1663307</v>
      </c>
      <c r="AA9" s="15">
        <v>1694583</v>
      </c>
      <c r="AB9" s="15">
        <f>SUM(AB3:AB8)</f>
        <v>0</v>
      </c>
      <c r="AC9" s="15">
        <f>SUM(AC3:AC8)</f>
        <v>0</v>
      </c>
      <c r="AD9" s="15">
        <f>SUM(AD3:AD8)</f>
        <v>2089987</v>
      </c>
      <c r="AE9" s="15">
        <f>SUM(AE3:AE8)</f>
        <v>2120090</v>
      </c>
      <c r="AF9" s="15">
        <f>SUM(AF3:AF8)</f>
        <v>2457653</v>
      </c>
      <c r="AG9" s="29">
        <v>2554523</v>
      </c>
      <c r="AH9" s="29">
        <v>2795357</v>
      </c>
      <c r="AI9" s="29">
        <v>2648697</v>
      </c>
      <c r="AJ9" s="15">
        <f>SUM(AJ3:AJ8)</f>
        <v>2757051</v>
      </c>
      <c r="AN9" s="22"/>
      <c r="AO9" s="22"/>
      <c r="AQ9" s="21"/>
    </row>
    <row r="10" spans="1:43" x14ac:dyDescent="0.3">
      <c r="A10" s="64" t="s">
        <v>181</v>
      </c>
      <c r="B10" s="1" t="s">
        <v>182</v>
      </c>
      <c r="C10" s="1" t="s">
        <v>70</v>
      </c>
      <c r="D10" s="1" t="s">
        <v>319</v>
      </c>
      <c r="E10" s="1" t="s">
        <v>183</v>
      </c>
      <c r="F10" s="13"/>
      <c r="G10" s="13">
        <v>223129</v>
      </c>
      <c r="H10" s="13">
        <v>224287</v>
      </c>
      <c r="I10" s="13">
        <v>229355</v>
      </c>
      <c r="J10" s="13">
        <v>265112</v>
      </c>
      <c r="K10" s="13">
        <v>284570</v>
      </c>
      <c r="L10" s="13"/>
      <c r="M10" s="13"/>
      <c r="N10" s="13"/>
      <c r="O10" s="13"/>
      <c r="P10" s="13"/>
      <c r="Q10" s="13"/>
      <c r="R10" s="13">
        <v>358459</v>
      </c>
      <c r="S10" s="13">
        <v>397063</v>
      </c>
      <c r="T10" s="13">
        <v>402817</v>
      </c>
      <c r="U10" s="13"/>
      <c r="V10" s="13"/>
      <c r="W10" s="13"/>
      <c r="X10" s="13"/>
      <c r="Y10" s="13"/>
      <c r="Z10" s="13"/>
      <c r="AA10" s="13"/>
      <c r="AB10" s="13"/>
      <c r="AC10" s="13"/>
      <c r="AD10" s="13">
        <v>535876</v>
      </c>
      <c r="AE10" s="13">
        <v>633230</v>
      </c>
      <c r="AF10" s="13">
        <v>611405</v>
      </c>
      <c r="AG10" s="13"/>
      <c r="AH10" s="13"/>
      <c r="AI10" s="13"/>
      <c r="AJ10" s="13">
        <v>608777</v>
      </c>
      <c r="AN10" s="22"/>
      <c r="AO10" s="22"/>
      <c r="AP10" s="22"/>
    </row>
    <row r="11" spans="1:43" x14ac:dyDescent="0.3">
      <c r="A11" s="64" t="s">
        <v>181</v>
      </c>
      <c r="B11" s="1" t="s">
        <v>182</v>
      </c>
      <c r="C11" s="1" t="s">
        <v>70</v>
      </c>
      <c r="D11" s="1" t="s">
        <v>320</v>
      </c>
      <c r="E11" s="1" t="s">
        <v>183</v>
      </c>
      <c r="F11" s="13"/>
      <c r="G11" s="13">
        <v>35061</v>
      </c>
      <c r="H11" s="13">
        <v>37606</v>
      </c>
      <c r="I11" s="13">
        <v>42409</v>
      </c>
      <c r="J11" s="13">
        <v>52480</v>
      </c>
      <c r="K11" s="13">
        <v>50434</v>
      </c>
      <c r="L11" s="13"/>
      <c r="M11" s="13"/>
      <c r="N11" s="13"/>
      <c r="O11" s="13"/>
      <c r="P11" s="13"/>
      <c r="Q11" s="13"/>
      <c r="R11" s="13">
        <v>114157</v>
      </c>
      <c r="S11" s="13">
        <v>109357</v>
      </c>
      <c r="T11" s="13">
        <v>113330</v>
      </c>
      <c r="U11" s="13"/>
      <c r="V11" s="13"/>
      <c r="W11" s="13"/>
      <c r="X11" s="13"/>
      <c r="Y11" s="13"/>
      <c r="Z11" s="13"/>
      <c r="AA11" s="13"/>
      <c r="AB11" s="13"/>
      <c r="AC11" s="13"/>
      <c r="AD11" s="13">
        <v>175997</v>
      </c>
      <c r="AE11" s="13">
        <v>156905</v>
      </c>
      <c r="AF11" s="13">
        <v>165125</v>
      </c>
      <c r="AG11" s="13"/>
      <c r="AH11" s="13"/>
      <c r="AI11" s="13"/>
      <c r="AJ11" s="13">
        <v>212345</v>
      </c>
      <c r="AN11" s="22"/>
      <c r="AO11" s="22"/>
      <c r="AP11" s="22"/>
      <c r="AQ11" s="22"/>
    </row>
    <row r="12" spans="1:43" x14ac:dyDescent="0.3">
      <c r="A12" s="64" t="s">
        <v>181</v>
      </c>
      <c r="B12" s="1" t="s">
        <v>182</v>
      </c>
      <c r="C12" s="1" t="s">
        <v>70</v>
      </c>
      <c r="D12" s="1" t="s">
        <v>324</v>
      </c>
      <c r="E12" s="1" t="s">
        <v>183</v>
      </c>
      <c r="F12" s="13"/>
      <c r="G12" s="13">
        <v>481174</v>
      </c>
      <c r="H12" s="13">
        <v>518208</v>
      </c>
      <c r="I12" s="13">
        <v>516696</v>
      </c>
      <c r="J12" s="13">
        <v>538733</v>
      </c>
      <c r="K12" s="13">
        <v>577394</v>
      </c>
      <c r="L12" s="13"/>
      <c r="M12" s="13"/>
      <c r="N12" s="13"/>
      <c r="O12" s="13"/>
      <c r="P12" s="13"/>
      <c r="Q12" s="13"/>
      <c r="R12" s="13">
        <v>700656</v>
      </c>
      <c r="S12" s="13">
        <v>721619</v>
      </c>
      <c r="T12" s="13">
        <v>747806</v>
      </c>
      <c r="U12" s="13"/>
      <c r="V12" s="13"/>
      <c r="W12" s="13"/>
      <c r="X12" s="13"/>
      <c r="Y12" s="13"/>
      <c r="Z12" s="13"/>
      <c r="AA12" s="13"/>
      <c r="AB12" s="13"/>
      <c r="AC12" s="13"/>
      <c r="AD12" s="13">
        <v>785585</v>
      </c>
      <c r="AE12" s="13">
        <v>755534</v>
      </c>
      <c r="AF12" s="13">
        <v>740183</v>
      </c>
      <c r="AG12" s="13"/>
      <c r="AH12" s="13"/>
      <c r="AI12" s="13"/>
      <c r="AJ12" s="13">
        <v>810978</v>
      </c>
      <c r="AO12" s="22"/>
      <c r="AP12" s="22"/>
      <c r="AQ12" s="22"/>
    </row>
    <row r="13" spans="1:43" x14ac:dyDescent="0.3">
      <c r="A13" s="64" t="s">
        <v>181</v>
      </c>
      <c r="B13" s="1" t="s">
        <v>182</v>
      </c>
      <c r="C13" s="1" t="s">
        <v>70</v>
      </c>
      <c r="D13" s="1" t="s">
        <v>484</v>
      </c>
      <c r="E13" s="1" t="s">
        <v>183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>
        <v>720226</v>
      </c>
      <c r="AE13" s="13">
        <v>612911</v>
      </c>
      <c r="AF13" s="13">
        <v>692167</v>
      </c>
      <c r="AG13" s="13"/>
      <c r="AH13" s="13"/>
      <c r="AI13" s="13"/>
      <c r="AJ13" s="13">
        <v>683648</v>
      </c>
      <c r="AO13" s="22"/>
      <c r="AP13" s="22"/>
      <c r="AQ13" s="22"/>
    </row>
    <row r="14" spans="1:43" x14ac:dyDescent="0.3">
      <c r="A14" s="64" t="s">
        <v>181</v>
      </c>
      <c r="B14" s="1" t="s">
        <v>182</v>
      </c>
      <c r="C14" s="1" t="s">
        <v>70</v>
      </c>
      <c r="D14" s="1" t="s">
        <v>485</v>
      </c>
      <c r="E14" s="1" t="s">
        <v>183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>
        <v>72023</v>
      </c>
      <c r="AE14" s="13">
        <v>65772</v>
      </c>
      <c r="AF14" s="13">
        <v>68792</v>
      </c>
      <c r="AG14" s="13"/>
      <c r="AH14" s="13"/>
      <c r="AI14" s="13"/>
      <c r="AJ14" s="13">
        <v>68364</v>
      </c>
      <c r="AO14" s="22"/>
      <c r="AP14" s="22"/>
      <c r="AQ14" s="22"/>
    </row>
    <row r="15" spans="1:43" x14ac:dyDescent="0.3">
      <c r="A15" s="64" t="s">
        <v>181</v>
      </c>
      <c r="B15" s="1" t="s">
        <v>182</v>
      </c>
      <c r="C15" s="1" t="s">
        <v>70</v>
      </c>
      <c r="D15" s="1" t="s">
        <v>327</v>
      </c>
      <c r="E15" s="1" t="s">
        <v>183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2">
        <v>438485</v>
      </c>
      <c r="Z15" s="22">
        <v>455331</v>
      </c>
      <c r="AA15" s="22">
        <v>458316</v>
      </c>
      <c r="AB15" s="13"/>
      <c r="AC15" s="13"/>
      <c r="AD15" s="13"/>
      <c r="AE15" s="13"/>
      <c r="AF15" s="13"/>
      <c r="AG15" s="31">
        <v>466084</v>
      </c>
      <c r="AH15" s="31">
        <v>468271</v>
      </c>
      <c r="AI15" s="31">
        <v>508881</v>
      </c>
      <c r="AJ15" s="13"/>
      <c r="AO15" s="22"/>
      <c r="AP15" s="22"/>
      <c r="AQ15" s="22"/>
    </row>
    <row r="16" spans="1:43" x14ac:dyDescent="0.3">
      <c r="A16" s="64" t="s">
        <v>181</v>
      </c>
      <c r="B16" s="1" t="s">
        <v>182</v>
      </c>
      <c r="C16" s="1" t="s">
        <v>70</v>
      </c>
      <c r="D16" s="1" t="s">
        <v>328</v>
      </c>
      <c r="E16" s="1" t="s">
        <v>183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2">
        <v>79713</v>
      </c>
      <c r="Z16" s="22">
        <v>65977</v>
      </c>
      <c r="AA16" s="22">
        <v>103005</v>
      </c>
      <c r="AB16" s="13"/>
      <c r="AC16" s="13"/>
      <c r="AD16" s="13"/>
      <c r="AE16" s="13"/>
      <c r="AF16" s="13"/>
      <c r="AG16" s="30">
        <v>141636</v>
      </c>
      <c r="AH16" s="30">
        <v>114685</v>
      </c>
      <c r="AI16" s="30">
        <v>106750</v>
      </c>
      <c r="AJ16" s="13"/>
      <c r="AO16" s="22"/>
      <c r="AP16" s="22"/>
      <c r="AQ16" s="22"/>
    </row>
    <row r="17" spans="1:44" x14ac:dyDescent="0.3">
      <c r="A17" s="64" t="s">
        <v>181</v>
      </c>
      <c r="B17" s="1" t="s">
        <v>182</v>
      </c>
      <c r="C17" s="1" t="s">
        <v>70</v>
      </c>
      <c r="D17" s="1" t="s">
        <v>329</v>
      </c>
      <c r="E17" s="1" t="s">
        <v>183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2">
        <v>101063</v>
      </c>
      <c r="Z17" s="22">
        <v>118784</v>
      </c>
      <c r="AA17" s="22">
        <v>114486</v>
      </c>
      <c r="AB17" s="13"/>
      <c r="AC17" s="13"/>
      <c r="AD17" s="13"/>
      <c r="AE17" s="13"/>
      <c r="AF17" s="13"/>
      <c r="AG17" s="30">
        <v>224696</v>
      </c>
      <c r="AH17" s="30">
        <v>242647</v>
      </c>
      <c r="AI17" s="30">
        <v>198451</v>
      </c>
      <c r="AJ17" s="13"/>
      <c r="AO17" s="22"/>
      <c r="AP17" s="22"/>
      <c r="AQ17" s="22"/>
    </row>
    <row r="18" spans="1:44" x14ac:dyDescent="0.3">
      <c r="A18" s="64" t="s">
        <v>181</v>
      </c>
      <c r="B18" s="1" t="s">
        <v>182</v>
      </c>
      <c r="C18" s="1" t="s">
        <v>70</v>
      </c>
      <c r="D18" s="1" t="s">
        <v>330</v>
      </c>
      <c r="E18" s="1" t="s">
        <v>183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2">
        <v>7267</v>
      </c>
      <c r="Z18" s="22">
        <v>7435</v>
      </c>
      <c r="AA18" s="22">
        <v>7810</v>
      </c>
      <c r="AB18" s="13"/>
      <c r="AC18" s="13"/>
      <c r="AD18" s="13"/>
      <c r="AE18" s="13"/>
      <c r="AF18" s="13"/>
      <c r="AG18" s="30">
        <v>8954</v>
      </c>
      <c r="AH18" s="30">
        <v>8472</v>
      </c>
      <c r="AI18" s="30">
        <v>11576</v>
      </c>
      <c r="AJ18" s="13"/>
      <c r="AO18" s="22"/>
      <c r="AP18" s="22"/>
      <c r="AQ18" s="22"/>
    </row>
    <row r="19" spans="1:44" x14ac:dyDescent="0.3">
      <c r="A19" s="64" t="s">
        <v>181</v>
      </c>
      <c r="B19" s="1" t="s">
        <v>182</v>
      </c>
      <c r="C19" s="1" t="s">
        <v>70</v>
      </c>
      <c r="D19" s="1" t="s">
        <v>331</v>
      </c>
      <c r="E19" s="1" t="s">
        <v>183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2">
        <v>181011</v>
      </c>
      <c r="Z19" s="22">
        <v>182737</v>
      </c>
      <c r="AA19" s="22">
        <v>189731</v>
      </c>
      <c r="AB19" s="13"/>
      <c r="AC19" s="13"/>
      <c r="AD19" s="13"/>
      <c r="AE19" s="13"/>
      <c r="AF19" s="13"/>
      <c r="AG19" s="30">
        <v>245896</v>
      </c>
      <c r="AH19" s="30">
        <v>253600</v>
      </c>
      <c r="AI19" s="30">
        <v>255324</v>
      </c>
      <c r="AJ19" s="13"/>
      <c r="AO19" s="22"/>
      <c r="AP19" s="22"/>
      <c r="AQ19" s="22"/>
    </row>
    <row r="20" spans="1:44" x14ac:dyDescent="0.3">
      <c r="A20" s="64" t="s">
        <v>181</v>
      </c>
      <c r="B20" s="1" t="s">
        <v>182</v>
      </c>
      <c r="C20" s="1" t="s">
        <v>70</v>
      </c>
      <c r="D20" s="1" t="s">
        <v>332</v>
      </c>
      <c r="E20" s="1" t="s">
        <v>183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2">
        <v>14437</v>
      </c>
      <c r="Z20" s="22">
        <v>13555</v>
      </c>
      <c r="AA20" s="22">
        <v>13102</v>
      </c>
      <c r="AB20" s="13"/>
      <c r="AC20" s="13"/>
      <c r="AD20" s="13"/>
      <c r="AE20" s="13"/>
      <c r="AF20" s="13"/>
      <c r="AG20" s="30">
        <v>15039</v>
      </c>
      <c r="AH20" s="30">
        <v>13222</v>
      </c>
      <c r="AI20" s="30">
        <v>12080</v>
      </c>
      <c r="AJ20" s="13"/>
      <c r="AO20" s="22"/>
      <c r="AP20" s="22"/>
      <c r="AQ20" s="22"/>
    </row>
    <row r="21" spans="1:44" x14ac:dyDescent="0.3">
      <c r="A21" s="64" t="s">
        <v>181</v>
      </c>
      <c r="B21" s="1" t="s">
        <v>182</v>
      </c>
      <c r="C21" s="1" t="s">
        <v>70</v>
      </c>
      <c r="D21" s="1" t="s">
        <v>357</v>
      </c>
      <c r="E21" s="1" t="s">
        <v>183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2">
        <v>40634</v>
      </c>
      <c r="Z21" s="22">
        <v>43430</v>
      </c>
      <c r="AA21" s="22">
        <v>44897</v>
      </c>
      <c r="AB21" s="13"/>
      <c r="AC21" s="13"/>
      <c r="AD21" s="13"/>
      <c r="AE21" s="13"/>
      <c r="AF21" s="13"/>
      <c r="AG21" s="30">
        <v>36969</v>
      </c>
      <c r="AH21" s="30">
        <v>48291</v>
      </c>
      <c r="AI21" s="30">
        <v>60796</v>
      </c>
      <c r="AJ21" s="13"/>
      <c r="AO21" s="22"/>
      <c r="AP21" s="22"/>
      <c r="AQ21" s="22"/>
    </row>
    <row r="22" spans="1:44" x14ac:dyDescent="0.3">
      <c r="A22" s="64" t="s">
        <v>181</v>
      </c>
      <c r="B22" s="1" t="s">
        <v>182</v>
      </c>
      <c r="C22" s="1" t="s">
        <v>70</v>
      </c>
      <c r="D22" s="1" t="s">
        <v>333</v>
      </c>
      <c r="E22" s="1" t="s">
        <v>183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2">
        <v>189622</v>
      </c>
      <c r="Z22" s="22">
        <v>193778</v>
      </c>
      <c r="AA22" s="22">
        <v>244896</v>
      </c>
      <c r="AB22" s="13"/>
      <c r="AC22" s="13"/>
      <c r="AD22" s="13"/>
      <c r="AE22" s="13"/>
      <c r="AF22" s="13"/>
      <c r="AG22" s="30">
        <v>290913</v>
      </c>
      <c r="AH22" s="30">
        <v>329558</v>
      </c>
      <c r="AI22" s="30">
        <v>368664</v>
      </c>
      <c r="AJ22" s="13"/>
      <c r="AR22" s="22"/>
    </row>
    <row r="23" spans="1:44" x14ac:dyDescent="0.3">
      <c r="A23" s="64" t="s">
        <v>181</v>
      </c>
      <c r="B23" s="1" t="s">
        <v>182</v>
      </c>
      <c r="C23" s="1" t="s">
        <v>70</v>
      </c>
      <c r="D23" s="1" t="s">
        <v>334</v>
      </c>
      <c r="E23" s="1" t="s">
        <v>183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2">
        <v>45398</v>
      </c>
      <c r="Z23" s="22">
        <v>39652</v>
      </c>
      <c r="AA23" s="22">
        <v>24181</v>
      </c>
      <c r="AB23" s="13"/>
      <c r="AC23" s="13"/>
      <c r="AD23" s="13"/>
      <c r="AE23" s="13"/>
      <c r="AF23" s="13"/>
      <c r="AG23" s="30">
        <v>10339</v>
      </c>
      <c r="AH23" s="30">
        <v>9024</v>
      </c>
      <c r="AI23" s="30">
        <v>30084</v>
      </c>
      <c r="AJ23" s="13"/>
      <c r="AM23" s="24"/>
      <c r="AP23" s="22"/>
      <c r="AQ23" s="22"/>
      <c r="AR23" s="22"/>
    </row>
    <row r="24" spans="1:44" x14ac:dyDescent="0.3">
      <c r="A24" s="64" t="s">
        <v>181</v>
      </c>
      <c r="B24" s="1" t="s">
        <v>182</v>
      </c>
      <c r="C24" s="1" t="s">
        <v>70</v>
      </c>
      <c r="D24" s="1" t="s">
        <v>335</v>
      </c>
      <c r="E24" s="1" t="s">
        <v>183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2">
        <v>19372</v>
      </c>
      <c r="Z24" s="22">
        <v>13682</v>
      </c>
      <c r="AA24" s="22">
        <v>16350</v>
      </c>
      <c r="AB24" s="13"/>
      <c r="AC24" s="13"/>
      <c r="AD24" s="13"/>
      <c r="AE24" s="13"/>
      <c r="AF24" s="13"/>
      <c r="AG24" s="30">
        <v>14424</v>
      </c>
      <c r="AH24" s="30">
        <v>13011</v>
      </c>
      <c r="AI24" s="30">
        <v>10216</v>
      </c>
      <c r="AJ24" s="13"/>
    </row>
    <row r="25" spans="1:44" x14ac:dyDescent="0.3">
      <c r="A25" s="64" t="s">
        <v>181</v>
      </c>
      <c r="B25" s="1" t="s">
        <v>182</v>
      </c>
      <c r="C25" s="1" t="s">
        <v>70</v>
      </c>
      <c r="D25" s="1" t="s">
        <v>336</v>
      </c>
      <c r="E25" s="1" t="s">
        <v>183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2">
        <v>35059</v>
      </c>
      <c r="Z25" s="22">
        <v>30845</v>
      </c>
      <c r="AA25" s="22">
        <v>25897</v>
      </c>
      <c r="AB25" s="13"/>
      <c r="AC25" s="13"/>
      <c r="AD25" s="13"/>
      <c r="AE25" s="13"/>
      <c r="AF25" s="13"/>
      <c r="AG25" s="30">
        <v>29139</v>
      </c>
      <c r="AH25" s="30">
        <v>25340</v>
      </c>
      <c r="AI25" s="30">
        <v>18559</v>
      </c>
      <c r="AJ25" s="13"/>
    </row>
    <row r="26" spans="1:44" x14ac:dyDescent="0.3">
      <c r="A26" s="64" t="s">
        <v>181</v>
      </c>
      <c r="B26" s="1" t="s">
        <v>182</v>
      </c>
      <c r="C26" s="1" t="s">
        <v>70</v>
      </c>
      <c r="D26" s="1" t="s">
        <v>205</v>
      </c>
      <c r="E26" s="1" t="s">
        <v>183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2">
        <v>32132</v>
      </c>
      <c r="Z26" s="22">
        <v>45830</v>
      </c>
      <c r="AA26" s="22">
        <v>51347</v>
      </c>
      <c r="AB26" s="13"/>
      <c r="AC26" s="13"/>
      <c r="AD26" s="13"/>
      <c r="AE26" s="13"/>
      <c r="AF26" s="13"/>
      <c r="AG26" s="30">
        <v>44042</v>
      </c>
      <c r="AH26" s="30">
        <v>44509</v>
      </c>
      <c r="AI26" s="30">
        <v>50748</v>
      </c>
      <c r="AJ26" s="13"/>
    </row>
    <row r="27" spans="1:44" x14ac:dyDescent="0.3">
      <c r="A27" s="64" t="s">
        <v>181</v>
      </c>
      <c r="B27" s="1" t="s">
        <v>182</v>
      </c>
      <c r="C27" s="1" t="s">
        <v>70</v>
      </c>
      <c r="D27" s="1" t="s">
        <v>337</v>
      </c>
      <c r="E27" s="1" t="s">
        <v>183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2">
        <v>459449</v>
      </c>
      <c r="Z27" s="22">
        <v>499412</v>
      </c>
      <c r="AA27" s="22">
        <v>475034</v>
      </c>
      <c r="AB27" s="13"/>
      <c r="AC27" s="13"/>
      <c r="AD27" s="13"/>
      <c r="AE27" s="13"/>
      <c r="AF27" s="13"/>
      <c r="AG27" s="30">
        <v>488067</v>
      </c>
      <c r="AH27" s="30">
        <v>564693</v>
      </c>
      <c r="AI27" s="30">
        <v>576975</v>
      </c>
      <c r="AJ27" s="13"/>
    </row>
    <row r="28" spans="1:44" x14ac:dyDescent="0.3">
      <c r="A28" s="64" t="s">
        <v>181</v>
      </c>
      <c r="B28" s="1" t="s">
        <v>182</v>
      </c>
      <c r="C28" s="7" t="s">
        <v>70</v>
      </c>
      <c r="D28" s="7" t="s">
        <v>71</v>
      </c>
      <c r="E28" s="1" t="s">
        <v>183</v>
      </c>
      <c r="F28" s="15"/>
      <c r="G28" s="15">
        <f t="shared" ref="F28:AJ28" si="1">SUM(G10:G27)</f>
        <v>739364</v>
      </c>
      <c r="H28" s="15">
        <f t="shared" si="1"/>
        <v>780101</v>
      </c>
      <c r="I28" s="15">
        <f t="shared" si="1"/>
        <v>788460</v>
      </c>
      <c r="J28" s="15">
        <f t="shared" si="1"/>
        <v>856325</v>
      </c>
      <c r="K28" s="15">
        <f t="shared" si="1"/>
        <v>912398</v>
      </c>
      <c r="L28" s="15"/>
      <c r="M28" s="15"/>
      <c r="N28" s="15"/>
      <c r="O28" s="15"/>
      <c r="P28" s="15"/>
      <c r="Q28" s="15"/>
      <c r="R28" s="15">
        <f t="shared" si="1"/>
        <v>1173272</v>
      </c>
      <c r="S28" s="15">
        <f t="shared" si="1"/>
        <v>1228039</v>
      </c>
      <c r="T28" s="15">
        <f t="shared" si="1"/>
        <v>1263953</v>
      </c>
      <c r="U28" s="15"/>
      <c r="V28" s="15"/>
      <c r="W28" s="15"/>
      <c r="X28" s="15"/>
      <c r="Y28" s="15">
        <f t="shared" si="1"/>
        <v>1643642</v>
      </c>
      <c r="Z28" s="15">
        <f t="shared" si="1"/>
        <v>1710448</v>
      </c>
      <c r="AA28" s="15">
        <f t="shared" si="1"/>
        <v>1769052</v>
      </c>
      <c r="AB28" s="15">
        <f t="shared" si="1"/>
        <v>0</v>
      </c>
      <c r="AC28" s="15">
        <f t="shared" si="1"/>
        <v>0</v>
      </c>
      <c r="AD28" s="15">
        <f t="shared" si="1"/>
        <v>2289707</v>
      </c>
      <c r="AE28" s="15">
        <f t="shared" si="1"/>
        <v>2224352</v>
      </c>
      <c r="AF28" s="15">
        <f t="shared" si="1"/>
        <v>2277672</v>
      </c>
      <c r="AG28" s="15">
        <f>SUM(AG10:AG27)</f>
        <v>2016198</v>
      </c>
      <c r="AH28" s="15">
        <f t="shared" si="1"/>
        <v>2135323</v>
      </c>
      <c r="AI28" s="15">
        <f t="shared" si="1"/>
        <v>2209104</v>
      </c>
      <c r="AJ28" s="15">
        <f t="shared" si="1"/>
        <v>2384112</v>
      </c>
    </row>
    <row r="29" spans="1:44" x14ac:dyDescent="0.3">
      <c r="A29" s="64" t="s">
        <v>181</v>
      </c>
      <c r="B29" s="1" t="s">
        <v>182</v>
      </c>
      <c r="C29" s="7" t="s">
        <v>72</v>
      </c>
      <c r="D29" s="7" t="s">
        <v>73</v>
      </c>
      <c r="E29" s="1" t="s">
        <v>183</v>
      </c>
      <c r="F29" s="16"/>
      <c r="G29" s="16">
        <f t="shared" ref="F29:AJ29" si="2">G9-G28</f>
        <v>317454</v>
      </c>
      <c r="H29" s="16">
        <f t="shared" si="2"/>
        <v>258236</v>
      </c>
      <c r="I29" s="16">
        <f t="shared" si="2"/>
        <v>324701</v>
      </c>
      <c r="J29" s="16">
        <f t="shared" si="2"/>
        <v>273633</v>
      </c>
      <c r="K29" s="16">
        <f t="shared" si="2"/>
        <v>193154</v>
      </c>
      <c r="L29" s="16"/>
      <c r="M29" s="16"/>
      <c r="N29" s="16"/>
      <c r="O29" s="16"/>
      <c r="P29" s="16"/>
      <c r="Q29" s="16"/>
      <c r="R29" s="16">
        <f t="shared" si="2"/>
        <v>376773</v>
      </c>
      <c r="S29" s="16">
        <f t="shared" si="2"/>
        <v>1083504</v>
      </c>
      <c r="T29" s="16">
        <f t="shared" si="2"/>
        <v>185692</v>
      </c>
      <c r="U29" s="16"/>
      <c r="V29" s="16"/>
      <c r="W29" s="16"/>
      <c r="X29" s="16"/>
      <c r="Y29" s="16">
        <f t="shared" si="2"/>
        <v>79380</v>
      </c>
      <c r="Z29" s="16">
        <f t="shared" si="2"/>
        <v>-47141</v>
      </c>
      <c r="AA29" s="16">
        <f t="shared" si="2"/>
        <v>-74469</v>
      </c>
      <c r="AB29" s="16">
        <f t="shared" si="2"/>
        <v>0</v>
      </c>
      <c r="AC29" s="16">
        <f t="shared" si="2"/>
        <v>0</v>
      </c>
      <c r="AD29" s="16">
        <f t="shared" si="2"/>
        <v>-199720</v>
      </c>
      <c r="AE29" s="16">
        <f t="shared" si="2"/>
        <v>-104262</v>
      </c>
      <c r="AF29" s="16">
        <f t="shared" si="2"/>
        <v>179981</v>
      </c>
      <c r="AG29" s="16">
        <f t="shared" si="2"/>
        <v>538325</v>
      </c>
      <c r="AH29" s="16">
        <f t="shared" si="2"/>
        <v>660034</v>
      </c>
      <c r="AI29" s="16">
        <f t="shared" si="2"/>
        <v>439593</v>
      </c>
      <c r="AJ29" s="16">
        <f t="shared" si="2"/>
        <v>372939</v>
      </c>
    </row>
    <row r="30" spans="1:44" x14ac:dyDescent="0.3">
      <c r="A30" s="64" t="s">
        <v>181</v>
      </c>
      <c r="B30" s="1" t="s">
        <v>182</v>
      </c>
      <c r="C30" s="1" t="s">
        <v>72</v>
      </c>
      <c r="D30" s="1" t="s">
        <v>325</v>
      </c>
      <c r="E30" s="1" t="s">
        <v>183</v>
      </c>
      <c r="F30" s="13"/>
      <c r="G30" s="13">
        <v>7632</v>
      </c>
      <c r="H30" s="13">
        <v>19230</v>
      </c>
      <c r="I30" s="13">
        <v>6159</v>
      </c>
      <c r="J30" s="13">
        <v>3062</v>
      </c>
      <c r="K30" s="13">
        <v>7427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44" x14ac:dyDescent="0.3">
      <c r="A31" s="64" t="s">
        <v>181</v>
      </c>
      <c r="B31" s="1" t="s">
        <v>182</v>
      </c>
      <c r="C31" s="1" t="s">
        <v>72</v>
      </c>
      <c r="D31" s="1" t="s">
        <v>326</v>
      </c>
      <c r="E31" s="1" t="s">
        <v>183</v>
      </c>
      <c r="F31" s="13"/>
      <c r="G31" s="13">
        <v>-142059</v>
      </c>
      <c r="H31" s="13">
        <v>-180480</v>
      </c>
      <c r="I31" s="13">
        <v>-157303</v>
      </c>
      <c r="J31" s="13">
        <v>-3569</v>
      </c>
      <c r="K31" s="13">
        <v>154769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44" x14ac:dyDescent="0.3">
      <c r="A32" s="64" t="s">
        <v>181</v>
      </c>
      <c r="B32" s="1" t="s">
        <v>182</v>
      </c>
      <c r="C32" s="1" t="s">
        <v>72</v>
      </c>
      <c r="D32" s="1" t="s">
        <v>338</v>
      </c>
      <c r="E32" s="1" t="s">
        <v>183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2">
        <v>78462</v>
      </c>
      <c r="Z32" s="22">
        <v>61062</v>
      </c>
      <c r="AA32" s="22">
        <v>21934</v>
      </c>
      <c r="AB32" s="13"/>
      <c r="AC32" s="13"/>
      <c r="AD32" s="13"/>
      <c r="AE32" s="13"/>
      <c r="AF32" s="13"/>
      <c r="AG32" s="31">
        <v>77</v>
      </c>
      <c r="AH32" s="31">
        <v>487</v>
      </c>
      <c r="AI32" s="31">
        <v>3545</v>
      </c>
      <c r="AJ32" s="13"/>
    </row>
    <row r="33" spans="1:36" x14ac:dyDescent="0.3">
      <c r="A33" s="64" t="s">
        <v>181</v>
      </c>
      <c r="B33" s="1" t="s">
        <v>182</v>
      </c>
      <c r="C33" s="1" t="s">
        <v>72</v>
      </c>
      <c r="D33" s="1" t="s">
        <v>339</v>
      </c>
      <c r="E33" s="1" t="s">
        <v>183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2">
        <v>90077</v>
      </c>
      <c r="Z33" s="22">
        <v>4571</v>
      </c>
      <c r="AA33" s="22">
        <v>3040</v>
      </c>
      <c r="AB33" s="13"/>
      <c r="AC33" s="13"/>
      <c r="AD33" s="13"/>
      <c r="AE33" s="13"/>
      <c r="AF33" s="13"/>
      <c r="AG33" s="30">
        <v>0</v>
      </c>
      <c r="AH33" s="30">
        <v>0</v>
      </c>
      <c r="AI33" s="32">
        <v>0</v>
      </c>
      <c r="AJ33" s="13"/>
    </row>
    <row r="34" spans="1:36" x14ac:dyDescent="0.3">
      <c r="A34" s="64" t="s">
        <v>181</v>
      </c>
      <c r="B34" s="1" t="s">
        <v>182</v>
      </c>
      <c r="C34" s="1" t="s">
        <v>72</v>
      </c>
      <c r="D34" s="1" t="s">
        <v>340</v>
      </c>
      <c r="E34" s="1" t="s">
        <v>183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2" t="s">
        <v>346</v>
      </c>
      <c r="Z34" s="22">
        <v>296988</v>
      </c>
      <c r="AA34" s="1" t="s">
        <v>346</v>
      </c>
      <c r="AB34" s="13"/>
      <c r="AC34" s="13"/>
      <c r="AD34" s="13"/>
      <c r="AE34" s="13"/>
      <c r="AF34" s="13"/>
      <c r="AJ34" s="13"/>
    </row>
    <row r="35" spans="1:36" x14ac:dyDescent="0.3">
      <c r="A35" s="64" t="s">
        <v>181</v>
      </c>
      <c r="B35" s="1" t="s">
        <v>182</v>
      </c>
      <c r="C35" s="1" t="s">
        <v>72</v>
      </c>
      <c r="D35" s="1" t="s">
        <v>341</v>
      </c>
      <c r="E35" s="1" t="s">
        <v>183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" t="s">
        <v>346</v>
      </c>
      <c r="Z35" s="22">
        <v>990743</v>
      </c>
      <c r="AA35" s="22" t="s">
        <v>346</v>
      </c>
      <c r="AB35" s="13"/>
      <c r="AC35" s="13"/>
      <c r="AD35" s="13"/>
      <c r="AE35" s="13"/>
      <c r="AF35" s="13"/>
      <c r="AJ35" s="13"/>
    </row>
    <row r="36" spans="1:36" x14ac:dyDescent="0.3">
      <c r="A36" s="64" t="s">
        <v>181</v>
      </c>
      <c r="B36" s="1" t="s">
        <v>182</v>
      </c>
      <c r="C36" s="1" t="s">
        <v>72</v>
      </c>
      <c r="D36" s="1" t="s">
        <v>342</v>
      </c>
      <c r="E36" s="1" t="s">
        <v>183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2">
        <v>-9163</v>
      </c>
      <c r="Z36" s="22">
        <v>-9164</v>
      </c>
      <c r="AA36" s="22">
        <v>-9164</v>
      </c>
      <c r="AB36" s="13"/>
      <c r="AC36" s="13"/>
      <c r="AD36" s="13"/>
      <c r="AE36" s="13"/>
      <c r="AF36" s="13"/>
      <c r="AG36" s="30">
        <v>-10277</v>
      </c>
      <c r="AH36" s="30">
        <v>-10277</v>
      </c>
      <c r="AI36" s="30">
        <v>-10277</v>
      </c>
      <c r="AJ36" s="13"/>
    </row>
    <row r="37" spans="1:36" x14ac:dyDescent="0.3">
      <c r="A37" s="64" t="s">
        <v>181</v>
      </c>
      <c r="B37" s="1" t="s">
        <v>182</v>
      </c>
      <c r="C37" s="1" t="s">
        <v>72</v>
      </c>
      <c r="D37" s="1" t="s">
        <v>343</v>
      </c>
      <c r="E37" s="1" t="s">
        <v>183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2">
        <v>-284761</v>
      </c>
      <c r="Z37" s="22">
        <v>-263866</v>
      </c>
      <c r="AA37" s="22">
        <v>-255712</v>
      </c>
      <c r="AB37" s="13"/>
      <c r="AC37" s="13"/>
      <c r="AD37" s="13"/>
      <c r="AE37" s="13"/>
      <c r="AF37" s="13"/>
      <c r="AG37" s="30">
        <v>-348311</v>
      </c>
      <c r="AH37" s="30">
        <v>-334859</v>
      </c>
      <c r="AI37" s="30">
        <v>-324773</v>
      </c>
      <c r="AJ37" s="13"/>
    </row>
    <row r="38" spans="1:36" x14ac:dyDescent="0.3">
      <c r="A38" s="64" t="s">
        <v>181</v>
      </c>
      <c r="B38" s="1" t="s">
        <v>182</v>
      </c>
      <c r="C38" s="7" t="s">
        <v>72</v>
      </c>
      <c r="D38" s="7" t="s">
        <v>74</v>
      </c>
      <c r="E38" s="1" t="s">
        <v>183</v>
      </c>
      <c r="F38" s="15"/>
      <c r="G38" s="15">
        <f>SUM(G30:G37)</f>
        <v>-134427</v>
      </c>
      <c r="H38" s="15">
        <f>SUM(H30:H37)</f>
        <v>-161250</v>
      </c>
      <c r="I38" s="15">
        <f>SUM(I30:I37)</f>
        <v>-151144</v>
      </c>
      <c r="J38" s="15">
        <f>SUM(J30:J37)</f>
        <v>-507</v>
      </c>
      <c r="K38" s="15">
        <f>SUM(K30:K37)</f>
        <v>162196</v>
      </c>
      <c r="L38" s="15"/>
      <c r="M38" s="15"/>
      <c r="N38" s="15"/>
      <c r="O38" s="15"/>
      <c r="P38" s="15"/>
      <c r="Q38" s="15"/>
      <c r="R38" s="15">
        <v>-104514</v>
      </c>
      <c r="S38" s="15">
        <v>-116144</v>
      </c>
      <c r="T38" s="15">
        <v>-101626</v>
      </c>
      <c r="U38" s="15"/>
      <c r="V38" s="15"/>
      <c r="W38" s="15"/>
      <c r="X38" s="15"/>
      <c r="Y38" s="15">
        <f>SUM(Y30:Y37)</f>
        <v>-125385</v>
      </c>
      <c r="Z38" s="15">
        <f>SUM(Z30:Z37)</f>
        <v>1080334</v>
      </c>
      <c r="AA38" s="15">
        <f>SUM(AA30:AA37)</f>
        <v>-239902</v>
      </c>
      <c r="AB38" s="15">
        <f>SUM(AB29:AB37)</f>
        <v>0</v>
      </c>
      <c r="AC38" s="15">
        <f>SUM(AC29:AC37)</f>
        <v>0</v>
      </c>
      <c r="AD38" s="15">
        <f>SUM(AD29:AD37)</f>
        <v>-199720</v>
      </c>
      <c r="AE38" s="15">
        <f>SUM(AE29:AE37)</f>
        <v>-104262</v>
      </c>
      <c r="AF38" s="15">
        <f>SUM(AF29:AF37)</f>
        <v>179981</v>
      </c>
      <c r="AG38" s="15">
        <f>SUM(AG30:AG37)</f>
        <v>-358511</v>
      </c>
      <c r="AH38" s="15">
        <f>SUM(AH30:AH37)</f>
        <v>-344649</v>
      </c>
      <c r="AI38" s="15">
        <f>SUM(AI30:AI37)</f>
        <v>-331505</v>
      </c>
      <c r="AJ38" s="15">
        <f>SUM(AJ29:AJ37)</f>
        <v>372939</v>
      </c>
    </row>
    <row r="39" spans="1:36" x14ac:dyDescent="0.3">
      <c r="A39" s="64" t="s">
        <v>181</v>
      </c>
      <c r="B39" s="1" t="s">
        <v>182</v>
      </c>
      <c r="C39" s="7" t="s">
        <v>75</v>
      </c>
      <c r="D39" s="7" t="s">
        <v>76</v>
      </c>
      <c r="E39" s="1" t="s">
        <v>183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x14ac:dyDescent="0.3">
      <c r="A40" s="64" t="s">
        <v>181</v>
      </c>
      <c r="B40" s="1" t="s">
        <v>182</v>
      </c>
      <c r="C40" s="7" t="s">
        <v>77</v>
      </c>
      <c r="D40" s="7" t="s">
        <v>77</v>
      </c>
      <c r="E40" s="1" t="s">
        <v>183</v>
      </c>
      <c r="F40" s="15"/>
      <c r="G40" s="15">
        <f>G29+G38</f>
        <v>183027</v>
      </c>
      <c r="H40" s="15">
        <f>H29+H38</f>
        <v>96986</v>
      </c>
      <c r="I40" s="15">
        <f>I29+I38</f>
        <v>173557</v>
      </c>
      <c r="J40" s="15">
        <f>J29+J38</f>
        <v>273126</v>
      </c>
      <c r="K40" s="15">
        <f>K29+K38</f>
        <v>355350</v>
      </c>
      <c r="L40" s="15"/>
      <c r="M40" s="15"/>
      <c r="N40" s="15"/>
      <c r="O40" s="15"/>
      <c r="P40" s="15"/>
      <c r="Q40" s="15"/>
      <c r="R40" s="15">
        <f>R29+R38</f>
        <v>272259</v>
      </c>
      <c r="S40" s="15">
        <f>S29+S38</f>
        <v>967360</v>
      </c>
      <c r="T40" s="15">
        <f>T29+T38</f>
        <v>84066</v>
      </c>
      <c r="U40" s="15"/>
      <c r="V40" s="15"/>
      <c r="W40" s="15"/>
      <c r="X40" s="15"/>
      <c r="Y40" s="15">
        <f>Y29+Y38</f>
        <v>-46005</v>
      </c>
      <c r="Z40" s="15">
        <f>Z29+Z38</f>
        <v>1033193</v>
      </c>
      <c r="AA40" s="15">
        <f>AA29+AA38</f>
        <v>-314371</v>
      </c>
      <c r="AB40" s="15"/>
      <c r="AC40" s="15"/>
      <c r="AD40" s="15"/>
      <c r="AE40" s="15"/>
      <c r="AF40" s="15"/>
      <c r="AG40" s="15">
        <f>AG29+AG38</f>
        <v>179814</v>
      </c>
      <c r="AH40" s="15">
        <f>AH29+AH38</f>
        <v>315385</v>
      </c>
      <c r="AI40" s="15">
        <f>AI29+AI38</f>
        <v>108088</v>
      </c>
      <c r="AJ40" s="15"/>
    </row>
    <row r="41" spans="1:36" x14ac:dyDescent="0.3">
      <c r="A41" s="64" t="s">
        <v>181</v>
      </c>
      <c r="B41" s="1" t="s">
        <v>182</v>
      </c>
      <c r="C41" s="7" t="s">
        <v>78</v>
      </c>
      <c r="D41" s="7" t="s">
        <v>79</v>
      </c>
      <c r="E41" s="1" t="s">
        <v>183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>
        <v>6572136</v>
      </c>
      <c r="S41" s="15">
        <v>6843229</v>
      </c>
      <c r="T41" s="15">
        <v>8301132</v>
      </c>
      <c r="U41" s="15"/>
      <c r="V41" s="15"/>
      <c r="W41" s="15"/>
      <c r="X41" s="15"/>
      <c r="Y41" s="28">
        <v>9701982</v>
      </c>
      <c r="Z41" s="28">
        <v>9655977</v>
      </c>
      <c r="AA41" s="28">
        <v>10689170</v>
      </c>
      <c r="AB41" s="15"/>
      <c r="AC41" s="15"/>
      <c r="AD41" s="15"/>
      <c r="AE41" s="15"/>
      <c r="AF41" s="15"/>
      <c r="AG41" s="33">
        <v>8562189</v>
      </c>
      <c r="AH41" s="15">
        <v>8742003</v>
      </c>
      <c r="AI41" s="15">
        <v>9057388</v>
      </c>
      <c r="AJ41" s="15"/>
    </row>
    <row r="42" spans="1:36" x14ac:dyDescent="0.3">
      <c r="A42" s="64" t="s">
        <v>181</v>
      </c>
      <c r="B42" s="1" t="s">
        <v>182</v>
      </c>
      <c r="C42" s="7" t="s">
        <v>78</v>
      </c>
      <c r="D42" s="7" t="s">
        <v>80</v>
      </c>
      <c r="E42" s="1" t="s">
        <v>183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>
        <v>6843229</v>
      </c>
      <c r="S42" s="15">
        <v>8301132</v>
      </c>
      <c r="T42" s="15">
        <v>8401851</v>
      </c>
      <c r="U42" s="15"/>
      <c r="V42" s="15"/>
      <c r="W42" s="15"/>
      <c r="X42" s="15"/>
      <c r="Y42" s="29">
        <v>9655977</v>
      </c>
      <c r="Z42" s="29">
        <v>10689170</v>
      </c>
      <c r="AA42" s="29">
        <v>10374799</v>
      </c>
      <c r="AB42" s="15"/>
      <c r="AC42" s="15"/>
      <c r="AD42" s="15"/>
      <c r="AE42" s="15"/>
      <c r="AF42" s="15"/>
      <c r="AG42" s="34">
        <v>8742003</v>
      </c>
      <c r="AH42" s="15">
        <v>9057388</v>
      </c>
      <c r="AI42" s="15">
        <v>9165476</v>
      </c>
      <c r="AJ42" s="15"/>
    </row>
    <row r="43" spans="1:36" x14ac:dyDescent="0.3">
      <c r="A43" s="64" t="s">
        <v>181</v>
      </c>
      <c r="B43" s="1" t="s">
        <v>182</v>
      </c>
      <c r="C43" s="7" t="s">
        <v>81</v>
      </c>
      <c r="D43" s="7" t="s">
        <v>81</v>
      </c>
      <c r="E43" s="1" t="s">
        <v>183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>
        <f>R42-R41</f>
        <v>271093</v>
      </c>
      <c r="S43" s="15">
        <f>S42-S41</f>
        <v>1457903</v>
      </c>
      <c r="T43" s="15">
        <f>T42-T41</f>
        <v>100719</v>
      </c>
      <c r="U43" s="15"/>
      <c r="V43" s="15"/>
      <c r="W43" s="15"/>
      <c r="X43" s="15"/>
      <c r="Y43" s="15">
        <f>Y42-Y41</f>
        <v>-46005</v>
      </c>
      <c r="Z43" s="15">
        <f t="shared" ref="Z43:AA43" si="3">Z42-Z41</f>
        <v>1033193</v>
      </c>
      <c r="AA43" s="15">
        <f t="shared" si="3"/>
        <v>-314371</v>
      </c>
      <c r="AB43" s="15"/>
      <c r="AC43" s="15"/>
      <c r="AD43" s="15"/>
      <c r="AE43" s="15"/>
      <c r="AF43" s="15"/>
      <c r="AG43" s="15">
        <f>AG42-AG41</f>
        <v>179814</v>
      </c>
      <c r="AH43" s="15">
        <f t="shared" ref="AH43:AI43" si="4">AH42-AH41</f>
        <v>315385</v>
      </c>
      <c r="AI43" s="15">
        <f t="shared" si="4"/>
        <v>108088</v>
      </c>
      <c r="AJ43" s="15"/>
    </row>
    <row r="44" spans="1:36" x14ac:dyDescent="0.3">
      <c r="A44" s="64" t="s">
        <v>181</v>
      </c>
      <c r="B44" s="1" t="s">
        <v>182</v>
      </c>
      <c r="C44" s="1" t="s">
        <v>68</v>
      </c>
      <c r="D44" s="1" t="s">
        <v>457</v>
      </c>
      <c r="E44" s="1" t="s">
        <v>381</v>
      </c>
      <c r="I44" s="40">
        <v>322880</v>
      </c>
      <c r="P44" s="40">
        <v>531743</v>
      </c>
      <c r="Q44" s="40">
        <v>598398</v>
      </c>
      <c r="R44" s="40">
        <v>598442</v>
      </c>
      <c r="S44" s="40">
        <v>610216</v>
      </c>
      <c r="T44" s="40">
        <v>570234</v>
      </c>
      <c r="U44" s="40">
        <v>977359</v>
      </c>
      <c r="V44" s="70">
        <f>1423384+723231+123424</f>
        <v>2270039</v>
      </c>
      <c r="Y44" s="40">
        <v>1110326</v>
      </c>
      <c r="Z44" s="40">
        <v>1099185</v>
      </c>
      <c r="AA44" s="40">
        <v>1012536</v>
      </c>
      <c r="AC44" s="40">
        <v>652503</v>
      </c>
      <c r="AD44" s="40">
        <v>989049</v>
      </c>
      <c r="AE44" s="40">
        <v>988949</v>
      </c>
      <c r="AF44" s="40">
        <v>989039</v>
      </c>
      <c r="AG44" s="1">
        <v>983538</v>
      </c>
      <c r="AH44" s="1" t="s">
        <v>194</v>
      </c>
      <c r="AI44" s="1" t="s">
        <v>194</v>
      </c>
      <c r="AJ44" s="1" t="s">
        <v>194</v>
      </c>
    </row>
    <row r="45" spans="1:36" x14ac:dyDescent="0.3">
      <c r="A45" s="64" t="s">
        <v>181</v>
      </c>
      <c r="B45" s="1" t="s">
        <v>182</v>
      </c>
      <c r="C45" s="1" t="s">
        <v>68</v>
      </c>
      <c r="D45" s="1" t="s">
        <v>611</v>
      </c>
      <c r="E45" s="1" t="s">
        <v>381</v>
      </c>
      <c r="I45" s="40"/>
      <c r="P45" s="40"/>
      <c r="Q45" s="40"/>
      <c r="R45" s="40"/>
      <c r="S45" s="40"/>
      <c r="T45" s="40"/>
      <c r="U45" s="40"/>
      <c r="V45" s="70"/>
      <c r="Y45" s="40"/>
      <c r="Z45" s="40"/>
      <c r="AA45" s="40"/>
      <c r="AC45" s="40"/>
      <c r="AD45" s="40"/>
      <c r="AE45" s="40"/>
      <c r="AF45" s="40"/>
      <c r="AH45" s="1">
        <v>3046385</v>
      </c>
      <c r="AI45" s="1">
        <v>2883908</v>
      </c>
      <c r="AJ45" s="1">
        <v>2876192</v>
      </c>
    </row>
    <row r="46" spans="1:36" x14ac:dyDescent="0.3">
      <c r="A46" s="64" t="s">
        <v>181</v>
      </c>
      <c r="B46" s="1" t="s">
        <v>182</v>
      </c>
      <c r="C46" s="1" t="s">
        <v>68</v>
      </c>
      <c r="D46" s="1" t="s">
        <v>345</v>
      </c>
      <c r="E46" s="1" t="s">
        <v>381</v>
      </c>
      <c r="I46" s="40">
        <v>41401</v>
      </c>
      <c r="P46" s="40">
        <v>86575</v>
      </c>
      <c r="Q46" s="40">
        <v>63766</v>
      </c>
      <c r="R46" s="40">
        <v>91221</v>
      </c>
      <c r="S46" s="40">
        <v>58833</v>
      </c>
      <c r="T46" s="40">
        <v>209044</v>
      </c>
      <c r="U46" s="40">
        <v>27201</v>
      </c>
      <c r="X46" s="22"/>
      <c r="Y46" s="40"/>
      <c r="Z46" s="40"/>
      <c r="AA46" s="40"/>
      <c r="AC46" s="40"/>
      <c r="AD46" s="40"/>
      <c r="AE46" s="40"/>
      <c r="AF46" s="40"/>
      <c r="AH46" s="1" t="s">
        <v>194</v>
      </c>
      <c r="AI46" s="1" t="s">
        <v>194</v>
      </c>
      <c r="AJ46" s="1" t="s">
        <v>194</v>
      </c>
    </row>
    <row r="47" spans="1:36" x14ac:dyDescent="0.3">
      <c r="A47" s="64" t="s">
        <v>181</v>
      </c>
      <c r="B47" s="1" t="s">
        <v>182</v>
      </c>
      <c r="C47" s="1" t="s">
        <v>68</v>
      </c>
      <c r="D47" s="1" t="s">
        <v>205</v>
      </c>
      <c r="E47" s="1" t="s">
        <v>381</v>
      </c>
      <c r="I47" s="40">
        <v>815</v>
      </c>
      <c r="P47" s="40">
        <v>5225</v>
      </c>
      <c r="Q47" s="40">
        <v>4246</v>
      </c>
      <c r="R47" s="40">
        <v>3605</v>
      </c>
      <c r="S47" s="40">
        <v>3492</v>
      </c>
      <c r="T47" s="40">
        <v>0</v>
      </c>
      <c r="U47" s="40">
        <v>1603</v>
      </c>
      <c r="X47" s="22"/>
      <c r="Y47" s="40"/>
      <c r="Z47" s="40"/>
      <c r="AA47" s="40"/>
      <c r="AC47" s="40"/>
      <c r="AD47" s="40"/>
      <c r="AE47" s="40"/>
      <c r="AF47" s="40"/>
      <c r="AH47" s="1">
        <v>15200</v>
      </c>
      <c r="AI47" s="1">
        <v>10027</v>
      </c>
      <c r="AJ47" s="1">
        <v>4701</v>
      </c>
    </row>
    <row r="48" spans="1:36" x14ac:dyDescent="0.3">
      <c r="A48" s="64" t="s">
        <v>181</v>
      </c>
      <c r="B48" s="1" t="s">
        <v>182</v>
      </c>
      <c r="C48" s="1" t="s">
        <v>68</v>
      </c>
      <c r="D48" s="1" t="s">
        <v>466</v>
      </c>
      <c r="E48" s="1" t="s">
        <v>381</v>
      </c>
      <c r="I48" s="40"/>
      <c r="P48" s="40"/>
      <c r="Q48" s="40"/>
      <c r="R48" s="40"/>
      <c r="S48" s="40"/>
      <c r="T48" s="40"/>
      <c r="U48" s="40">
        <v>1372000</v>
      </c>
      <c r="X48" s="22"/>
      <c r="Y48" s="40"/>
      <c r="Z48" s="40"/>
      <c r="AA48" s="40"/>
      <c r="AC48" s="40"/>
      <c r="AD48" s="40"/>
      <c r="AE48" s="40"/>
      <c r="AF48" s="40"/>
      <c r="AH48" s="1" t="s">
        <v>194</v>
      </c>
      <c r="AI48" s="1" t="s">
        <v>194</v>
      </c>
      <c r="AJ48" s="1" t="s">
        <v>194</v>
      </c>
    </row>
    <row r="49" spans="1:36" x14ac:dyDescent="0.3">
      <c r="A49" s="64" t="s">
        <v>181</v>
      </c>
      <c r="B49" s="1" t="s">
        <v>182</v>
      </c>
      <c r="C49" s="7" t="s">
        <v>68</v>
      </c>
      <c r="D49" s="7" t="s">
        <v>69</v>
      </c>
      <c r="E49" s="1" t="s">
        <v>381</v>
      </c>
      <c r="I49" s="47">
        <f>SUM(I44:I48)</f>
        <v>365096</v>
      </c>
      <c r="P49" s="48">
        <f t="shared" ref="P49:V49" si="5">SUM(P44:P48)</f>
        <v>623543</v>
      </c>
      <c r="Q49" s="47">
        <f t="shared" si="5"/>
        <v>666410</v>
      </c>
      <c r="R49" s="47">
        <f t="shared" si="5"/>
        <v>693268</v>
      </c>
      <c r="S49" s="47">
        <f t="shared" si="5"/>
        <v>672541</v>
      </c>
      <c r="T49" s="47">
        <f t="shared" si="5"/>
        <v>779278</v>
      </c>
      <c r="U49" s="47">
        <f t="shared" si="5"/>
        <v>2378163</v>
      </c>
      <c r="V49" s="47">
        <f t="shared" si="5"/>
        <v>2270039</v>
      </c>
      <c r="X49" s="22"/>
      <c r="Y49" s="47">
        <f>SUM(Y44:Y48)</f>
        <v>1110326</v>
      </c>
      <c r="Z49" s="47">
        <f>SUM(Z44:Z48)</f>
        <v>1099185</v>
      </c>
      <c r="AA49" s="47">
        <f>SUM(AA44:AA48)</f>
        <v>1012536</v>
      </c>
      <c r="AC49" s="47">
        <f>SUM(AC44:AC48)</f>
        <v>652503</v>
      </c>
      <c r="AD49" s="47">
        <f t="shared" ref="AD49:AG49" si="6">SUM(AD44:AD48)</f>
        <v>989049</v>
      </c>
      <c r="AE49" s="47">
        <f t="shared" si="6"/>
        <v>988949</v>
      </c>
      <c r="AF49" s="47">
        <f t="shared" si="6"/>
        <v>989039</v>
      </c>
      <c r="AG49" s="47">
        <f t="shared" si="6"/>
        <v>983538</v>
      </c>
      <c r="AH49" s="7">
        <f>SUM(AH45:AH48)</f>
        <v>3061585</v>
      </c>
      <c r="AI49" s="7">
        <f>SUM(AI45:AI48)</f>
        <v>2893935</v>
      </c>
      <c r="AJ49" s="7">
        <f>SUM(AJ45:AJ48)</f>
        <v>2880893</v>
      </c>
    </row>
    <row r="50" spans="1:36" x14ac:dyDescent="0.3">
      <c r="A50" s="64" t="s">
        <v>181</v>
      </c>
      <c r="B50" s="1" t="s">
        <v>182</v>
      </c>
      <c r="C50" s="1" t="s">
        <v>70</v>
      </c>
      <c r="D50" s="1" t="s">
        <v>344</v>
      </c>
      <c r="E50" s="1" t="s">
        <v>381</v>
      </c>
      <c r="I50" s="40">
        <v>3900</v>
      </c>
      <c r="P50" s="40">
        <v>900</v>
      </c>
      <c r="Q50" s="40">
        <v>900</v>
      </c>
      <c r="R50" s="40">
        <v>900</v>
      </c>
      <c r="S50" s="40">
        <v>900</v>
      </c>
      <c r="T50" s="40">
        <v>1200</v>
      </c>
      <c r="U50" s="40">
        <v>1200</v>
      </c>
      <c r="X50" s="22"/>
      <c r="Y50" s="40"/>
      <c r="Z50" s="40"/>
      <c r="AA50" s="40"/>
      <c r="AC50" s="40"/>
      <c r="AD50" s="40"/>
      <c r="AE50" s="40"/>
      <c r="AF50" s="40"/>
    </row>
    <row r="51" spans="1:36" x14ac:dyDescent="0.3">
      <c r="A51" s="64" t="s">
        <v>181</v>
      </c>
      <c r="B51" s="1" t="s">
        <v>182</v>
      </c>
      <c r="C51" s="1" t="s">
        <v>70</v>
      </c>
      <c r="D51" s="1" t="s">
        <v>336</v>
      </c>
      <c r="E51" s="1" t="s">
        <v>381</v>
      </c>
      <c r="I51" s="40">
        <v>200</v>
      </c>
      <c r="P51" s="40">
        <v>100</v>
      </c>
      <c r="Q51" s="40">
        <v>100</v>
      </c>
      <c r="R51" s="40">
        <v>100</v>
      </c>
      <c r="S51" s="40">
        <v>100</v>
      </c>
      <c r="T51" s="40">
        <v>100</v>
      </c>
      <c r="U51" s="40">
        <v>250</v>
      </c>
      <c r="X51" s="22"/>
      <c r="Y51" s="40">
        <v>250</v>
      </c>
      <c r="Z51" s="40">
        <v>250</v>
      </c>
      <c r="AA51" s="40">
        <v>250</v>
      </c>
      <c r="AC51" s="40"/>
      <c r="AD51" s="40"/>
      <c r="AE51" s="40"/>
      <c r="AF51" s="40"/>
    </row>
    <row r="52" spans="1:36" x14ac:dyDescent="0.3">
      <c r="A52" s="64" t="s">
        <v>181</v>
      </c>
      <c r="B52" s="1" t="s">
        <v>182</v>
      </c>
      <c r="C52" s="1" t="s">
        <v>70</v>
      </c>
      <c r="D52" s="1" t="s">
        <v>458</v>
      </c>
      <c r="E52" s="1" t="s">
        <v>381</v>
      </c>
      <c r="I52" s="40">
        <v>708</v>
      </c>
      <c r="P52" s="40"/>
      <c r="Q52" s="40"/>
      <c r="R52" s="40"/>
      <c r="S52" s="40"/>
      <c r="T52" s="40"/>
      <c r="U52" s="40"/>
      <c r="X52" s="24"/>
      <c r="Y52" s="40"/>
      <c r="Z52" s="40"/>
      <c r="AA52" s="40"/>
      <c r="AB52" s="22"/>
      <c r="AC52" s="40"/>
      <c r="AD52" s="40"/>
      <c r="AE52" s="40"/>
      <c r="AF52" s="40"/>
    </row>
    <row r="53" spans="1:36" x14ac:dyDescent="0.3">
      <c r="A53" s="64" t="s">
        <v>181</v>
      </c>
      <c r="B53" s="1" t="s">
        <v>182</v>
      </c>
      <c r="C53" s="1" t="s">
        <v>70</v>
      </c>
      <c r="D53" s="1" t="s">
        <v>459</v>
      </c>
      <c r="E53" s="1" t="s">
        <v>381</v>
      </c>
      <c r="I53" s="40">
        <v>938</v>
      </c>
      <c r="P53" s="40">
        <v>5856</v>
      </c>
      <c r="Q53" s="40">
        <v>15171</v>
      </c>
      <c r="R53" s="40"/>
      <c r="S53" s="40">
        <v>231</v>
      </c>
      <c r="T53" s="40">
        <v>720</v>
      </c>
      <c r="U53" s="40">
        <v>594</v>
      </c>
      <c r="X53" s="24"/>
      <c r="Y53" s="40"/>
      <c r="Z53" s="40"/>
      <c r="AA53" s="40"/>
      <c r="AB53" s="22"/>
      <c r="AC53" s="40"/>
      <c r="AD53" s="40"/>
      <c r="AE53" s="40"/>
      <c r="AF53" s="40"/>
    </row>
    <row r="54" spans="1:36" x14ac:dyDescent="0.3">
      <c r="A54" s="64" t="s">
        <v>181</v>
      </c>
      <c r="B54" s="1" t="s">
        <v>182</v>
      </c>
      <c r="C54" s="1" t="s">
        <v>70</v>
      </c>
      <c r="D54" s="1" t="s">
        <v>460</v>
      </c>
      <c r="E54" s="1" t="s">
        <v>381</v>
      </c>
      <c r="I54" s="40"/>
      <c r="P54" s="40">
        <v>160</v>
      </c>
      <c r="Q54" s="40">
        <v>347</v>
      </c>
      <c r="R54" s="40">
        <v>342</v>
      </c>
      <c r="S54" s="40">
        <v>588</v>
      </c>
      <c r="T54" s="40">
        <v>793</v>
      </c>
      <c r="U54" s="40">
        <v>1015</v>
      </c>
      <c r="Y54" s="40"/>
      <c r="Z54" s="40"/>
      <c r="AA54" s="40"/>
      <c r="AC54" s="40"/>
      <c r="AD54" s="40"/>
      <c r="AE54" s="40"/>
      <c r="AF54" s="40"/>
    </row>
    <row r="55" spans="1:36" x14ac:dyDescent="0.3">
      <c r="A55" s="64" t="s">
        <v>181</v>
      </c>
      <c r="B55" s="1" t="s">
        <v>182</v>
      </c>
      <c r="C55" s="1" t="s">
        <v>70</v>
      </c>
      <c r="D55" s="1" t="s">
        <v>461</v>
      </c>
      <c r="E55" s="1" t="s">
        <v>381</v>
      </c>
      <c r="I55" s="40">
        <v>32</v>
      </c>
      <c r="P55" s="40">
        <v>418</v>
      </c>
      <c r="Q55" s="40">
        <v>418</v>
      </c>
      <c r="R55" s="40">
        <v>418</v>
      </c>
      <c r="S55" s="40">
        <v>418</v>
      </c>
      <c r="T55" s="40">
        <v>418</v>
      </c>
      <c r="U55" s="40">
        <v>418</v>
      </c>
      <c r="Y55" s="40"/>
      <c r="Z55" s="40"/>
      <c r="AA55" s="40"/>
      <c r="AC55" s="40"/>
      <c r="AD55" s="40"/>
      <c r="AE55" s="40"/>
      <c r="AF55" s="40"/>
    </row>
    <row r="56" spans="1:36" x14ac:dyDescent="0.3">
      <c r="A56" s="64" t="s">
        <v>181</v>
      </c>
      <c r="B56" s="1" t="s">
        <v>182</v>
      </c>
      <c r="C56" s="1" t="s">
        <v>70</v>
      </c>
      <c r="D56" s="1" t="s">
        <v>462</v>
      </c>
      <c r="E56" s="1" t="s">
        <v>381</v>
      </c>
      <c r="I56" s="40">
        <v>424</v>
      </c>
      <c r="P56" s="40">
        <v>520</v>
      </c>
      <c r="Q56" s="40">
        <v>301</v>
      </c>
      <c r="R56" s="40">
        <v>362</v>
      </c>
      <c r="S56" s="40">
        <v>451</v>
      </c>
      <c r="T56" s="40">
        <v>605</v>
      </c>
      <c r="U56" s="40">
        <v>337</v>
      </c>
      <c r="Y56" s="40"/>
      <c r="Z56" s="40"/>
      <c r="AA56" s="40"/>
      <c r="AC56" s="40"/>
      <c r="AD56" s="40"/>
      <c r="AE56" s="40"/>
      <c r="AF56" s="40"/>
    </row>
    <row r="57" spans="1:36" x14ac:dyDescent="0.3">
      <c r="A57" s="64" t="s">
        <v>181</v>
      </c>
      <c r="B57" s="1" t="s">
        <v>182</v>
      </c>
      <c r="C57" s="1" t="s">
        <v>70</v>
      </c>
      <c r="D57" s="1" t="s">
        <v>345</v>
      </c>
      <c r="E57" s="1" t="s">
        <v>381</v>
      </c>
      <c r="I57" s="40">
        <v>233</v>
      </c>
      <c r="P57" s="40">
        <v>178954</v>
      </c>
      <c r="Q57" s="40">
        <v>150350</v>
      </c>
      <c r="R57" s="40">
        <v>130123</v>
      </c>
      <c r="S57" s="40">
        <v>106297</v>
      </c>
      <c r="T57" s="40">
        <v>56026</v>
      </c>
      <c r="U57" s="40">
        <v>56511</v>
      </c>
      <c r="Y57" s="40"/>
      <c r="Z57" s="40"/>
      <c r="AA57" s="40"/>
      <c r="AC57" s="40"/>
      <c r="AD57" s="40"/>
      <c r="AE57" s="40"/>
      <c r="AF57" s="40"/>
    </row>
    <row r="58" spans="1:36" x14ac:dyDescent="0.3">
      <c r="A58" s="64" t="s">
        <v>181</v>
      </c>
      <c r="B58" s="1" t="s">
        <v>182</v>
      </c>
      <c r="C58" s="1" t="s">
        <v>70</v>
      </c>
      <c r="D58" s="1" t="s">
        <v>337</v>
      </c>
      <c r="E58" s="1" t="s">
        <v>381</v>
      </c>
      <c r="I58" s="40">
        <v>214683</v>
      </c>
      <c r="P58" s="40">
        <v>265144</v>
      </c>
      <c r="Q58" s="40">
        <v>265159</v>
      </c>
      <c r="R58" s="40">
        <v>253541</v>
      </c>
      <c r="S58" s="40">
        <v>238091</v>
      </c>
      <c r="T58" s="40">
        <v>237202</v>
      </c>
      <c r="U58" s="40">
        <v>237044</v>
      </c>
      <c r="Y58" s="40"/>
      <c r="Z58" s="40"/>
      <c r="AA58" s="40"/>
      <c r="AC58" s="40">
        <v>619488</v>
      </c>
      <c r="AD58" s="40">
        <v>618790</v>
      </c>
      <c r="AE58" s="40">
        <v>617925</v>
      </c>
      <c r="AF58" s="40">
        <v>617925</v>
      </c>
      <c r="AG58" s="1">
        <v>617729</v>
      </c>
    </row>
    <row r="59" spans="1:36" x14ac:dyDescent="0.3">
      <c r="A59" s="64" t="s">
        <v>181</v>
      </c>
      <c r="B59" s="1" t="s">
        <v>182</v>
      </c>
      <c r="C59" s="1" t="s">
        <v>70</v>
      </c>
      <c r="D59" s="1" t="s">
        <v>205</v>
      </c>
      <c r="E59" s="1" t="s">
        <v>381</v>
      </c>
      <c r="I59" s="40">
        <v>168094</v>
      </c>
      <c r="P59" s="40"/>
      <c r="Q59" s="40"/>
      <c r="R59" s="40"/>
      <c r="S59" s="40"/>
      <c r="T59" s="40"/>
      <c r="U59" s="40"/>
      <c r="Y59" s="40"/>
      <c r="Z59" s="40"/>
      <c r="AA59" s="40"/>
      <c r="AC59" s="40"/>
      <c r="AD59" s="40"/>
      <c r="AE59" s="40"/>
      <c r="AF59" s="40"/>
    </row>
    <row r="60" spans="1:36" x14ac:dyDescent="0.3">
      <c r="A60" s="64" t="s">
        <v>181</v>
      </c>
      <c r="B60" s="1" t="s">
        <v>182</v>
      </c>
      <c r="C60" s="1" t="s">
        <v>70</v>
      </c>
      <c r="D60" s="1" t="s">
        <v>463</v>
      </c>
      <c r="E60" s="1" t="s">
        <v>381</v>
      </c>
      <c r="I60" s="40">
        <v>49</v>
      </c>
      <c r="P60" s="40">
        <v>2400</v>
      </c>
      <c r="Q60" s="40">
        <v>2700</v>
      </c>
      <c r="R60" s="40">
        <v>2700</v>
      </c>
      <c r="S60" s="40">
        <v>3600</v>
      </c>
      <c r="T60" s="40">
        <v>3600</v>
      </c>
      <c r="U60" s="40">
        <v>3600</v>
      </c>
      <c r="Y60" s="40">
        <v>619488</v>
      </c>
      <c r="Z60" s="40">
        <v>619488</v>
      </c>
      <c r="AA60" s="40">
        <v>619488</v>
      </c>
      <c r="AC60" s="40"/>
      <c r="AD60" s="40"/>
      <c r="AE60" s="40"/>
      <c r="AF60" s="40"/>
    </row>
    <row r="61" spans="1:36" x14ac:dyDescent="0.3">
      <c r="A61" s="64" t="s">
        <v>181</v>
      </c>
      <c r="B61" s="1" t="s">
        <v>182</v>
      </c>
      <c r="C61" s="1" t="s">
        <v>70</v>
      </c>
      <c r="D61" s="1" t="s">
        <v>464</v>
      </c>
      <c r="E61" s="1" t="s">
        <v>381</v>
      </c>
      <c r="I61" s="40"/>
      <c r="P61" s="40">
        <v>9575</v>
      </c>
      <c r="Q61" s="40">
        <v>4537</v>
      </c>
      <c r="R61" s="40">
        <v>3703</v>
      </c>
      <c r="S61" s="40">
        <v>3686</v>
      </c>
      <c r="T61" s="40">
        <v>4039</v>
      </c>
      <c r="U61" s="40">
        <v>6512</v>
      </c>
      <c r="Y61" s="40"/>
      <c r="Z61" s="40"/>
      <c r="AA61" s="40"/>
      <c r="AC61" s="40"/>
      <c r="AD61" s="40"/>
      <c r="AE61" s="40"/>
      <c r="AF61" s="40"/>
    </row>
    <row r="62" spans="1:36" x14ac:dyDescent="0.3">
      <c r="A62" s="64" t="s">
        <v>181</v>
      </c>
      <c r="B62" s="1" t="s">
        <v>182</v>
      </c>
      <c r="C62" s="1" t="s">
        <v>70</v>
      </c>
      <c r="D62" s="1" t="s">
        <v>465</v>
      </c>
      <c r="E62" s="1" t="s">
        <v>381</v>
      </c>
      <c r="I62" s="40"/>
      <c r="P62" s="40">
        <v>558</v>
      </c>
      <c r="Q62" s="40">
        <v>558</v>
      </c>
      <c r="R62" s="40">
        <v>572</v>
      </c>
      <c r="S62" s="40">
        <v>554</v>
      </c>
      <c r="T62" s="40">
        <v>4803</v>
      </c>
      <c r="U62" s="40">
        <v>3400</v>
      </c>
      <c r="Y62" s="40"/>
      <c r="Z62" s="40"/>
      <c r="AA62" s="40"/>
      <c r="AC62" s="40"/>
      <c r="AD62" s="40"/>
      <c r="AE62" s="40"/>
      <c r="AF62" s="40"/>
    </row>
    <row r="63" spans="1:36" x14ac:dyDescent="0.3">
      <c r="A63" s="64" t="s">
        <v>181</v>
      </c>
      <c r="B63" s="1" t="s">
        <v>182</v>
      </c>
      <c r="C63" s="1" t="s">
        <v>70</v>
      </c>
      <c r="D63" s="1" t="s">
        <v>467</v>
      </c>
      <c r="E63" s="1" t="s">
        <v>381</v>
      </c>
      <c r="I63" s="40"/>
      <c r="P63" s="40">
        <v>13799</v>
      </c>
      <c r="Q63" s="40">
        <v>10763</v>
      </c>
      <c r="R63" s="40">
        <v>8302</v>
      </c>
      <c r="S63" s="40">
        <v>5697</v>
      </c>
      <c r="T63" s="40">
        <v>15243</v>
      </c>
      <c r="U63" s="40">
        <v>9200</v>
      </c>
      <c r="Y63" s="40">
        <v>20993</v>
      </c>
      <c r="Z63" s="40">
        <v>20992</v>
      </c>
      <c r="AA63" s="40">
        <v>20992</v>
      </c>
      <c r="AC63" s="40"/>
      <c r="AD63" s="40"/>
      <c r="AE63" s="40"/>
      <c r="AF63" s="40"/>
    </row>
    <row r="64" spans="1:36" x14ac:dyDescent="0.3">
      <c r="A64" s="64" t="s">
        <v>181</v>
      </c>
      <c r="B64" s="1" t="s">
        <v>182</v>
      </c>
      <c r="C64" s="1" t="s">
        <v>70</v>
      </c>
      <c r="D64" s="1" t="s">
        <v>205</v>
      </c>
      <c r="E64" s="1" t="s">
        <v>381</v>
      </c>
      <c r="I64" s="40"/>
      <c r="P64" s="40">
        <v>9996</v>
      </c>
      <c r="Q64" s="40">
        <v>9728</v>
      </c>
      <c r="R64" s="40">
        <v>5276</v>
      </c>
      <c r="S64" s="40">
        <v>54</v>
      </c>
      <c r="T64" s="40">
        <v>28</v>
      </c>
      <c r="U64" s="40">
        <v>3240</v>
      </c>
      <c r="Y64" s="40"/>
      <c r="Z64" s="40"/>
      <c r="AA64" s="40"/>
      <c r="AC64" s="40"/>
      <c r="AD64" s="40"/>
      <c r="AE64" s="40"/>
      <c r="AF64" s="40"/>
    </row>
    <row r="65" spans="1:36" x14ac:dyDescent="0.3">
      <c r="A65" s="64" t="s">
        <v>181</v>
      </c>
      <c r="B65" s="1" t="s">
        <v>182</v>
      </c>
      <c r="C65" s="1" t="s">
        <v>70</v>
      </c>
      <c r="D65" s="1" t="s">
        <v>468</v>
      </c>
      <c r="E65" s="1" t="s">
        <v>381</v>
      </c>
      <c r="I65" s="40"/>
      <c r="P65" s="40"/>
      <c r="Q65" s="40"/>
      <c r="R65" s="40"/>
      <c r="S65" s="40"/>
      <c r="T65" s="40"/>
      <c r="U65" s="40"/>
      <c r="Y65" s="40">
        <v>3900</v>
      </c>
      <c r="Z65" s="40">
        <v>4000</v>
      </c>
      <c r="AA65" s="40">
        <v>3900</v>
      </c>
      <c r="AC65" s="40">
        <v>4500</v>
      </c>
      <c r="AD65" s="40">
        <v>4500</v>
      </c>
      <c r="AE65" s="40">
        <v>4500</v>
      </c>
      <c r="AF65" s="40">
        <v>4500</v>
      </c>
      <c r="AG65" s="1">
        <v>5040</v>
      </c>
    </row>
    <row r="66" spans="1:36" x14ac:dyDescent="0.3">
      <c r="A66" s="64" t="s">
        <v>181</v>
      </c>
      <c r="B66" s="1" t="s">
        <v>182</v>
      </c>
      <c r="C66" s="1" t="s">
        <v>70</v>
      </c>
      <c r="D66" s="1" t="s">
        <v>472</v>
      </c>
      <c r="E66" s="1" t="s">
        <v>381</v>
      </c>
      <c r="I66" s="40"/>
      <c r="P66" s="40"/>
      <c r="Q66" s="40"/>
      <c r="R66" s="40"/>
      <c r="S66" s="40"/>
      <c r="T66" s="40"/>
      <c r="U66" s="40"/>
      <c r="Y66" s="40">
        <v>10639</v>
      </c>
      <c r="Z66" s="40">
        <v>10130</v>
      </c>
      <c r="AA66" s="40">
        <v>11779</v>
      </c>
      <c r="AC66" s="40">
        <v>8242</v>
      </c>
      <c r="AD66" s="40">
        <v>13975</v>
      </c>
      <c r="AE66" s="40">
        <v>18597</v>
      </c>
      <c r="AF66" s="40">
        <v>24075</v>
      </c>
      <c r="AG66" s="1">
        <v>10727</v>
      </c>
    </row>
    <row r="67" spans="1:36" x14ac:dyDescent="0.3">
      <c r="A67" s="64" t="s">
        <v>181</v>
      </c>
      <c r="B67" s="1" t="s">
        <v>182</v>
      </c>
      <c r="C67" s="1" t="s">
        <v>70</v>
      </c>
      <c r="D67" s="1" t="s">
        <v>469</v>
      </c>
      <c r="E67" s="1" t="s">
        <v>381</v>
      </c>
      <c r="I67" s="40"/>
      <c r="P67" s="40"/>
      <c r="Q67" s="40"/>
      <c r="R67" s="40"/>
      <c r="S67" s="40"/>
      <c r="T67" s="40"/>
      <c r="U67" s="40"/>
      <c r="Y67" s="40">
        <v>1415</v>
      </c>
      <c r="Z67" s="40">
        <v>7153</v>
      </c>
      <c r="AA67" s="40">
        <v>1086</v>
      </c>
      <c r="AC67" s="40">
        <v>2053</v>
      </c>
      <c r="AD67" s="40">
        <v>1460</v>
      </c>
      <c r="AE67" s="40">
        <v>1465</v>
      </c>
      <c r="AF67" s="40">
        <v>1392</v>
      </c>
      <c r="AG67" s="1">
        <v>2393</v>
      </c>
    </row>
    <row r="68" spans="1:36" x14ac:dyDescent="0.3">
      <c r="A68" s="64" t="s">
        <v>181</v>
      </c>
      <c r="B68" s="1" t="s">
        <v>182</v>
      </c>
      <c r="C68" s="1" t="s">
        <v>70</v>
      </c>
      <c r="D68" s="1" t="s">
        <v>470</v>
      </c>
      <c r="E68" s="1" t="s">
        <v>381</v>
      </c>
      <c r="I68" s="40"/>
      <c r="P68" s="40"/>
      <c r="Q68" s="40"/>
      <c r="R68" s="40"/>
      <c r="S68" s="40"/>
      <c r="T68" s="40"/>
      <c r="U68" s="40"/>
      <c r="Y68" s="40">
        <v>70314</v>
      </c>
      <c r="Z68" s="40"/>
      <c r="AA68" s="40">
        <v>47030</v>
      </c>
      <c r="AC68" s="40"/>
      <c r="AD68" s="40"/>
      <c r="AE68" s="40"/>
      <c r="AF68" s="40"/>
    </row>
    <row r="69" spans="1:36" x14ac:dyDescent="0.3">
      <c r="A69" s="64" t="s">
        <v>181</v>
      </c>
      <c r="B69" s="1" t="s">
        <v>182</v>
      </c>
      <c r="C69" s="1" t="s">
        <v>70</v>
      </c>
      <c r="D69" s="1" t="s">
        <v>357</v>
      </c>
      <c r="E69" s="1" t="s">
        <v>381</v>
      </c>
      <c r="I69" s="40"/>
      <c r="P69" s="40"/>
      <c r="Q69" s="40"/>
      <c r="R69" s="40"/>
      <c r="S69" s="40"/>
      <c r="T69" s="40"/>
      <c r="U69" s="40"/>
      <c r="Y69" s="40"/>
      <c r="Z69" s="40"/>
      <c r="AA69" s="40"/>
      <c r="AC69" s="40">
        <v>344</v>
      </c>
      <c r="AD69" s="40">
        <v>365</v>
      </c>
      <c r="AE69" s="40">
        <v>344</v>
      </c>
      <c r="AF69" s="40">
        <v>344</v>
      </c>
      <c r="AG69" s="1">
        <v>385</v>
      </c>
    </row>
    <row r="70" spans="1:36" x14ac:dyDescent="0.3">
      <c r="A70" s="64" t="s">
        <v>181</v>
      </c>
      <c r="B70" s="1" t="s">
        <v>182</v>
      </c>
      <c r="C70" s="7" t="s">
        <v>70</v>
      </c>
      <c r="D70" s="7" t="s">
        <v>71</v>
      </c>
      <c r="E70" s="1" t="s">
        <v>381</v>
      </c>
      <c r="I70" s="47">
        <f>SUM(I50:I69)</f>
        <v>389261</v>
      </c>
      <c r="P70" s="48">
        <f t="shared" ref="P70:U70" si="7">SUM(P50:P69)</f>
        <v>488380</v>
      </c>
      <c r="Q70" s="47">
        <f t="shared" si="7"/>
        <v>461032</v>
      </c>
      <c r="R70" s="47">
        <f t="shared" si="7"/>
        <v>406339</v>
      </c>
      <c r="S70" s="47">
        <f t="shared" si="7"/>
        <v>360667</v>
      </c>
      <c r="T70" s="47">
        <f t="shared" si="7"/>
        <v>324777</v>
      </c>
      <c r="U70" s="47">
        <f t="shared" si="7"/>
        <v>323321</v>
      </c>
      <c r="Y70" s="47">
        <f>SUM(Y50:Y69)</f>
        <v>726999</v>
      </c>
      <c r="Z70" s="47">
        <f>SUM(Z50:Z69)</f>
        <v>662013</v>
      </c>
      <c r="AA70" s="47">
        <f>SUM(AA50:AA69)</f>
        <v>704525</v>
      </c>
      <c r="AC70" s="47">
        <f>SUM(AC50:AC69)</f>
        <v>634627</v>
      </c>
      <c r="AD70" s="47">
        <f>SUM(AD50:AD69)</f>
        <v>639090</v>
      </c>
      <c r="AE70" s="47">
        <f>SUM(AE50:AE69)</f>
        <v>642831</v>
      </c>
      <c r="AF70" s="47">
        <f>SUM(AF50:AF69)</f>
        <v>648236</v>
      </c>
      <c r="AG70" s="47">
        <f>SUM(AG50:AG69)</f>
        <v>636274</v>
      </c>
      <c r="AH70" s="7">
        <v>2725843</v>
      </c>
      <c r="AI70" s="7">
        <v>2610013</v>
      </c>
      <c r="AJ70" s="7">
        <v>2607520</v>
      </c>
    </row>
    <row r="71" spans="1:36" x14ac:dyDescent="0.3">
      <c r="A71" s="64" t="s">
        <v>181</v>
      </c>
      <c r="B71" s="1" t="s">
        <v>182</v>
      </c>
      <c r="C71" s="7" t="s">
        <v>72</v>
      </c>
      <c r="D71" s="7" t="s">
        <v>73</v>
      </c>
      <c r="E71" s="1" t="s">
        <v>381</v>
      </c>
      <c r="I71" s="47">
        <f>I49-I70</f>
        <v>-24165</v>
      </c>
      <c r="P71" s="48">
        <f t="shared" ref="P71:U71" si="8">P49-P70</f>
        <v>135163</v>
      </c>
      <c r="Q71" s="47">
        <f t="shared" si="8"/>
        <v>205378</v>
      </c>
      <c r="R71" s="47">
        <f t="shared" si="8"/>
        <v>286929</v>
      </c>
      <c r="S71" s="47">
        <f t="shared" si="8"/>
        <v>311874</v>
      </c>
      <c r="T71" s="47">
        <f t="shared" si="8"/>
        <v>454501</v>
      </c>
      <c r="U71" s="47">
        <f t="shared" si="8"/>
        <v>2054842</v>
      </c>
      <c r="Y71" s="47">
        <f>Y49-Y70</f>
        <v>383327</v>
      </c>
      <c r="Z71" s="47">
        <f>Z49-Z70</f>
        <v>437172</v>
      </c>
      <c r="AA71" s="47">
        <f>AA49-AA70</f>
        <v>308011</v>
      </c>
      <c r="AC71" s="47">
        <f>AC49-AC70</f>
        <v>17876</v>
      </c>
      <c r="AD71" s="47">
        <f>AD49-AD70</f>
        <v>349959</v>
      </c>
      <c r="AE71" s="47">
        <f>AE49-AE70</f>
        <v>346118</v>
      </c>
      <c r="AF71" s="47">
        <f>AF49-AF70</f>
        <v>340803</v>
      </c>
      <c r="AG71" s="47">
        <f>AG49-AG70</f>
        <v>347264</v>
      </c>
      <c r="AH71" s="7">
        <f>AH49-AH70</f>
        <v>335742</v>
      </c>
      <c r="AI71" s="7">
        <f>AI49-AI70</f>
        <v>283922</v>
      </c>
      <c r="AJ71" s="7">
        <f>AJ49-AJ70</f>
        <v>273373</v>
      </c>
    </row>
    <row r="72" spans="1:36" x14ac:dyDescent="0.3">
      <c r="A72" s="64" t="s">
        <v>181</v>
      </c>
      <c r="B72" s="1" t="s">
        <v>182</v>
      </c>
      <c r="C72" s="1" t="s">
        <v>72</v>
      </c>
      <c r="D72" s="1" t="s">
        <v>471</v>
      </c>
      <c r="E72" s="1" t="s">
        <v>381</v>
      </c>
      <c r="I72" s="40"/>
      <c r="P72" s="40"/>
      <c r="Q72" s="40"/>
      <c r="R72" s="40"/>
      <c r="S72" s="40"/>
      <c r="T72" s="40"/>
      <c r="U72" s="40"/>
      <c r="Y72" s="40">
        <v>91840</v>
      </c>
      <c r="Z72" s="40">
        <v>46153</v>
      </c>
      <c r="AA72" s="40">
        <v>19521</v>
      </c>
      <c r="AC72" s="40">
        <v>3773</v>
      </c>
      <c r="AD72" s="40">
        <v>7724</v>
      </c>
      <c r="AE72" s="40">
        <v>4873</v>
      </c>
      <c r="AF72" s="40">
        <v>3868</v>
      </c>
      <c r="AG72" s="1">
        <v>5469</v>
      </c>
      <c r="AH72" s="1">
        <v>3483</v>
      </c>
      <c r="AI72" s="1">
        <v>7608</v>
      </c>
      <c r="AJ72" s="1">
        <v>16567</v>
      </c>
    </row>
    <row r="73" spans="1:36" x14ac:dyDescent="0.3">
      <c r="A73" s="64" t="s">
        <v>181</v>
      </c>
      <c r="B73" s="1" t="s">
        <v>182</v>
      </c>
      <c r="C73" s="1" t="s">
        <v>72</v>
      </c>
      <c r="D73" s="1" t="s">
        <v>343</v>
      </c>
      <c r="E73" s="1" t="s">
        <v>381</v>
      </c>
      <c r="I73" s="40"/>
      <c r="P73" s="40"/>
      <c r="Q73" s="40"/>
      <c r="R73" s="40"/>
      <c r="S73" s="40"/>
      <c r="T73" s="40"/>
      <c r="U73" s="40"/>
      <c r="Y73" s="40">
        <v>-324527</v>
      </c>
      <c r="Z73" s="40">
        <v>-303567</v>
      </c>
      <c r="AA73" s="40">
        <v>-296162</v>
      </c>
      <c r="AC73" s="40">
        <v>-209733</v>
      </c>
      <c r="AD73" s="40">
        <v>-205375</v>
      </c>
      <c r="AE73" s="40">
        <v>-196928</v>
      </c>
      <c r="AF73" s="40">
        <v>-176420</v>
      </c>
      <c r="AG73" s="1">
        <f>-71563-19398</f>
        <v>-90961</v>
      </c>
    </row>
    <row r="74" spans="1:36" x14ac:dyDescent="0.3">
      <c r="A74" s="64" t="s">
        <v>181</v>
      </c>
      <c r="B74" s="1" t="s">
        <v>182</v>
      </c>
      <c r="C74" s="1" t="s">
        <v>72</v>
      </c>
      <c r="D74" s="1" t="s">
        <v>473</v>
      </c>
      <c r="E74" s="1" t="s">
        <v>381</v>
      </c>
      <c r="I74" s="40"/>
      <c r="P74" s="40"/>
      <c r="Q74" s="40"/>
      <c r="R74" s="40"/>
      <c r="S74" s="40"/>
      <c r="T74" s="40"/>
      <c r="U74" s="40"/>
      <c r="Y74" s="40"/>
      <c r="Z74" s="40"/>
      <c r="AA74" s="40"/>
      <c r="AC74" s="40"/>
      <c r="AD74" s="40"/>
      <c r="AE74" s="40"/>
      <c r="AF74" s="40">
        <v>-327858</v>
      </c>
      <c r="AG74" s="1">
        <v>-165642</v>
      </c>
    </row>
    <row r="75" spans="1:36" x14ac:dyDescent="0.3">
      <c r="A75" s="64" t="s">
        <v>181</v>
      </c>
      <c r="B75" s="1" t="s">
        <v>182</v>
      </c>
      <c r="C75" s="1" t="s">
        <v>72</v>
      </c>
      <c r="D75" s="1" t="s">
        <v>612</v>
      </c>
      <c r="E75" s="1" t="s">
        <v>381</v>
      </c>
      <c r="I75" s="40"/>
      <c r="P75" s="40"/>
      <c r="Q75" s="40"/>
      <c r="R75" s="40"/>
      <c r="S75" s="40"/>
      <c r="T75" s="40"/>
      <c r="U75" s="40"/>
      <c r="Y75" s="40"/>
      <c r="Z75" s="40"/>
      <c r="AA75" s="40"/>
      <c r="AC75" s="40"/>
      <c r="AD75" s="40"/>
      <c r="AE75" s="40"/>
      <c r="AF75" s="40"/>
      <c r="AH75" s="1">
        <f>3185</f>
        <v>3185</v>
      </c>
      <c r="AI75" s="1">
        <f>1900-3097</f>
        <v>-1197</v>
      </c>
      <c r="AJ75" s="1">
        <v>3858</v>
      </c>
    </row>
    <row r="76" spans="1:36" x14ac:dyDescent="0.3">
      <c r="A76" s="64" t="s">
        <v>181</v>
      </c>
      <c r="B76" s="1" t="s">
        <v>182</v>
      </c>
      <c r="C76" s="1" t="s">
        <v>72</v>
      </c>
      <c r="D76" s="1" t="s">
        <v>613</v>
      </c>
      <c r="E76" s="1" t="s">
        <v>381</v>
      </c>
      <c r="I76" s="40"/>
      <c r="P76" s="40"/>
      <c r="Q76" s="40"/>
      <c r="R76" s="40"/>
      <c r="S76" s="40"/>
      <c r="T76" s="40"/>
      <c r="U76" s="40"/>
      <c r="Y76" s="40"/>
      <c r="Z76" s="40"/>
      <c r="AA76" s="40"/>
      <c r="AC76" s="40"/>
      <c r="AD76" s="40"/>
      <c r="AE76" s="40"/>
      <c r="AF76" s="40"/>
      <c r="AH76" s="1">
        <v>-534</v>
      </c>
      <c r="AI76" s="1">
        <v>2019</v>
      </c>
      <c r="AJ76" s="1">
        <v>-111</v>
      </c>
    </row>
    <row r="77" spans="1:36" x14ac:dyDescent="0.3">
      <c r="A77" s="64" t="s">
        <v>181</v>
      </c>
      <c r="B77" s="1" t="s">
        <v>182</v>
      </c>
      <c r="C77" s="1" t="s">
        <v>72</v>
      </c>
      <c r="D77" s="1" t="s">
        <v>616</v>
      </c>
      <c r="E77" s="1" t="s">
        <v>381</v>
      </c>
      <c r="I77" s="40"/>
      <c r="P77" s="40"/>
      <c r="Q77" s="40"/>
      <c r="R77" s="40"/>
      <c r="S77" s="40"/>
      <c r="T77" s="40"/>
      <c r="U77" s="40"/>
      <c r="Y77" s="40"/>
      <c r="Z77" s="40"/>
      <c r="AA77" s="40"/>
      <c r="AC77" s="40"/>
      <c r="AD77" s="40"/>
      <c r="AE77" s="40"/>
      <c r="AF77" s="40"/>
      <c r="AH77" s="1">
        <v>0</v>
      </c>
      <c r="AI77" s="1">
        <v>0</v>
      </c>
      <c r="AJ77" s="1">
        <v>0</v>
      </c>
    </row>
    <row r="78" spans="1:36" x14ac:dyDescent="0.3">
      <c r="A78" s="64" t="s">
        <v>181</v>
      </c>
      <c r="B78" s="1" t="s">
        <v>182</v>
      </c>
      <c r="C78" s="1" t="s">
        <v>72</v>
      </c>
      <c r="E78" s="1" t="s">
        <v>381</v>
      </c>
      <c r="I78" s="40"/>
      <c r="P78" s="40"/>
      <c r="Q78" s="40"/>
      <c r="R78" s="40"/>
      <c r="S78" s="40"/>
      <c r="T78" s="40"/>
      <c r="U78" s="40"/>
      <c r="Y78" s="40"/>
      <c r="Z78" s="40"/>
      <c r="AA78" s="40"/>
      <c r="AC78" s="40"/>
      <c r="AD78" s="40"/>
      <c r="AE78" s="40"/>
      <c r="AF78" s="40"/>
    </row>
    <row r="79" spans="1:36" x14ac:dyDescent="0.3">
      <c r="A79" s="64" t="s">
        <v>181</v>
      </c>
      <c r="B79" s="1" t="s">
        <v>182</v>
      </c>
      <c r="C79" s="1" t="s">
        <v>72</v>
      </c>
      <c r="E79" s="1" t="s">
        <v>381</v>
      </c>
      <c r="I79" s="40"/>
      <c r="P79" s="40"/>
      <c r="Q79" s="40"/>
      <c r="R79" s="40"/>
      <c r="S79" s="40"/>
      <c r="T79" s="40"/>
      <c r="U79" s="40"/>
      <c r="Y79" s="40"/>
      <c r="Z79" s="40"/>
      <c r="AA79" s="40"/>
      <c r="AC79" s="40"/>
      <c r="AD79" s="40"/>
      <c r="AE79" s="40"/>
      <c r="AF79" s="40"/>
    </row>
    <row r="80" spans="1:36" x14ac:dyDescent="0.3">
      <c r="A80" s="64" t="s">
        <v>181</v>
      </c>
      <c r="B80" s="1" t="s">
        <v>182</v>
      </c>
      <c r="C80" s="7" t="s">
        <v>72</v>
      </c>
      <c r="D80" s="7" t="s">
        <v>74</v>
      </c>
      <c r="E80" s="1" t="s">
        <v>381</v>
      </c>
      <c r="I80" s="40"/>
      <c r="P80" s="40"/>
      <c r="Q80" s="40"/>
      <c r="R80" s="40"/>
      <c r="S80" s="40"/>
      <c r="T80" s="40"/>
      <c r="U80" s="40"/>
      <c r="Y80" s="47">
        <f>SUM(Y72:Y79)</f>
        <v>-232687</v>
      </c>
      <c r="Z80" s="47">
        <f t="shared" ref="Z80:AC80" si="9">SUM(Z72:Z79)</f>
        <v>-257414</v>
      </c>
      <c r="AA80" s="47">
        <f t="shared" si="9"/>
        <v>-276641</v>
      </c>
      <c r="AC80" s="47">
        <f t="shared" si="9"/>
        <v>-205960</v>
      </c>
      <c r="AD80" s="47">
        <f t="shared" ref="AD80" si="10">SUM(AD72:AD79)</f>
        <v>-197651</v>
      </c>
      <c r="AE80" s="47">
        <f t="shared" ref="AE80" si="11">SUM(AE72:AE79)</f>
        <v>-192055</v>
      </c>
      <c r="AF80" s="47">
        <f t="shared" ref="AF80:AG80" si="12">SUM(AF72:AF79)</f>
        <v>-500410</v>
      </c>
      <c r="AG80" s="47">
        <f t="shared" si="12"/>
        <v>-251134</v>
      </c>
      <c r="AH80" s="7">
        <f>SUM(AH72:AH79)</f>
        <v>6134</v>
      </c>
      <c r="AI80" s="7">
        <f>SUM(AI72:AI79)</f>
        <v>8430</v>
      </c>
      <c r="AJ80" s="7">
        <f>SUM(AJ72:AJ79)</f>
        <v>20314</v>
      </c>
    </row>
    <row r="81" spans="1:36" x14ac:dyDescent="0.3">
      <c r="A81" s="64" t="s">
        <v>181</v>
      </c>
      <c r="B81" s="1" t="s">
        <v>182</v>
      </c>
      <c r="C81" s="7" t="s">
        <v>75</v>
      </c>
      <c r="D81" s="7" t="s">
        <v>76</v>
      </c>
      <c r="E81" s="1" t="s">
        <v>381</v>
      </c>
      <c r="I81" s="40"/>
      <c r="P81" s="40"/>
      <c r="Q81" s="40"/>
      <c r="R81" s="40"/>
      <c r="S81" s="40"/>
      <c r="T81" s="40"/>
      <c r="U81" s="40"/>
      <c r="Y81" s="47">
        <f>Y80</f>
        <v>-232687</v>
      </c>
      <c r="Z81" s="47">
        <f t="shared" ref="Z81:AC81" si="13">Z80</f>
        <v>-257414</v>
      </c>
      <c r="AA81" s="47">
        <f t="shared" si="13"/>
        <v>-276641</v>
      </c>
      <c r="AC81" s="47">
        <f t="shared" si="13"/>
        <v>-205960</v>
      </c>
      <c r="AD81" s="47">
        <f t="shared" ref="AD81" si="14">AD80</f>
        <v>-197651</v>
      </c>
      <c r="AE81" s="47">
        <f t="shared" ref="AE81" si="15">AE80</f>
        <v>-192055</v>
      </c>
      <c r="AF81" s="47">
        <f t="shared" ref="AF81:AG81" si="16">AF80</f>
        <v>-500410</v>
      </c>
      <c r="AG81" s="47">
        <f t="shared" si="16"/>
        <v>-251134</v>
      </c>
      <c r="AH81" s="7">
        <f>SUM(AH80)</f>
        <v>6134</v>
      </c>
      <c r="AI81" s="7">
        <f>SUM(AI80)</f>
        <v>8430</v>
      </c>
      <c r="AJ81" s="7">
        <f>SUM(AJ80)</f>
        <v>20314</v>
      </c>
    </row>
    <row r="82" spans="1:36" x14ac:dyDescent="0.3">
      <c r="A82" s="64" t="s">
        <v>181</v>
      </c>
      <c r="B82" s="1" t="s">
        <v>182</v>
      </c>
      <c r="C82" s="7" t="s">
        <v>77</v>
      </c>
      <c r="D82" s="7" t="s">
        <v>77</v>
      </c>
      <c r="E82" s="1" t="s">
        <v>381</v>
      </c>
      <c r="I82" s="40"/>
      <c r="P82" s="40"/>
      <c r="Q82" s="40"/>
      <c r="R82" s="40"/>
      <c r="S82" s="40"/>
      <c r="T82" s="40"/>
      <c r="U82" s="40"/>
      <c r="Y82" s="47">
        <f>SUM(Y71,Y81)</f>
        <v>150640</v>
      </c>
      <c r="Z82" s="47">
        <f t="shared" ref="Z82:AC82" si="17">SUM(Z71,Z81)</f>
        <v>179758</v>
      </c>
      <c r="AA82" s="47">
        <f t="shared" si="17"/>
        <v>31370</v>
      </c>
      <c r="AC82" s="47">
        <f t="shared" si="17"/>
        <v>-188084</v>
      </c>
      <c r="AD82" s="47">
        <f t="shared" ref="AD82" si="18">SUM(AD71,AD81)</f>
        <v>152308</v>
      </c>
      <c r="AE82" s="47">
        <f t="shared" ref="AE82" si="19">SUM(AE71,AE81)</f>
        <v>154063</v>
      </c>
      <c r="AF82" s="47">
        <f t="shared" ref="AF82:AG82" si="20">SUM(AF71,AF81)</f>
        <v>-159607</v>
      </c>
      <c r="AG82" s="47">
        <f t="shared" si="20"/>
        <v>96130</v>
      </c>
      <c r="AH82" s="7">
        <f>SUM(AH81,AH71)</f>
        <v>341876</v>
      </c>
      <c r="AI82" s="7">
        <f>SUM(AI81,AI71)</f>
        <v>292352</v>
      </c>
      <c r="AJ82" s="7">
        <f>SUM(AJ81,AJ71)</f>
        <v>293687</v>
      </c>
    </row>
    <row r="83" spans="1:36" x14ac:dyDescent="0.3">
      <c r="A83" s="64" t="s">
        <v>181</v>
      </c>
      <c r="B83" s="1" t="s">
        <v>182</v>
      </c>
      <c r="C83" s="7" t="s">
        <v>78</v>
      </c>
      <c r="D83" s="7" t="s">
        <v>79</v>
      </c>
      <c r="E83" s="1" t="s">
        <v>381</v>
      </c>
      <c r="I83" s="47">
        <v>2324053</v>
      </c>
      <c r="P83" s="47">
        <v>5221478</v>
      </c>
      <c r="Q83" s="47">
        <v>5356451</v>
      </c>
      <c r="R83" s="47">
        <v>5551613</v>
      </c>
      <c r="S83" s="47">
        <v>5838542</v>
      </c>
      <c r="T83" s="47">
        <v>6150416</v>
      </c>
      <c r="U83" s="47">
        <v>6604917</v>
      </c>
      <c r="Y83" s="47">
        <v>11995940</v>
      </c>
      <c r="Z83" s="47">
        <v>12151486</v>
      </c>
      <c r="AA83" s="47">
        <v>12331244</v>
      </c>
      <c r="AC83" s="47">
        <v>12364788</v>
      </c>
      <c r="AD83" s="47">
        <v>12176704</v>
      </c>
      <c r="AE83" s="47">
        <v>12329012</v>
      </c>
      <c r="AF83" s="47">
        <f>12483075-57200</f>
        <v>12425875</v>
      </c>
      <c r="AG83" s="7">
        <v>12266268</v>
      </c>
      <c r="AH83" s="7">
        <v>3262521</v>
      </c>
      <c r="AI83" s="7">
        <v>3604397</v>
      </c>
      <c r="AJ83" s="7">
        <v>3896749</v>
      </c>
    </row>
    <row r="84" spans="1:36" x14ac:dyDescent="0.3">
      <c r="A84" s="64" t="s">
        <v>181</v>
      </c>
      <c r="B84" s="1" t="s">
        <v>182</v>
      </c>
      <c r="C84" s="7" t="s">
        <v>78</v>
      </c>
      <c r="D84" s="7" t="s">
        <v>80</v>
      </c>
      <c r="E84" s="1" t="s">
        <v>381</v>
      </c>
      <c r="I84" s="47">
        <v>2299888</v>
      </c>
      <c r="P84" s="47">
        <v>5356451</v>
      </c>
      <c r="Q84" s="47">
        <v>5551613</v>
      </c>
      <c r="R84" s="47">
        <v>5838542</v>
      </c>
      <c r="S84" s="47">
        <v>6150416</v>
      </c>
      <c r="T84" s="47">
        <v>6604917</v>
      </c>
      <c r="U84" s="47">
        <v>8659759</v>
      </c>
      <c r="Y84" s="47">
        <v>12146580</v>
      </c>
      <c r="Z84" s="47">
        <v>12331244</v>
      </c>
      <c r="AA84" s="47">
        <v>12362614</v>
      </c>
      <c r="AC84" s="47">
        <v>12176704</v>
      </c>
      <c r="AD84" s="47">
        <v>12329012</v>
      </c>
      <c r="AE84" s="47">
        <v>12483075</v>
      </c>
      <c r="AF84" s="47">
        <v>12266268</v>
      </c>
      <c r="AG84" s="7">
        <v>12362398</v>
      </c>
      <c r="AH84" s="7">
        <v>3604397</v>
      </c>
      <c r="AI84" s="7">
        <v>3896749</v>
      </c>
      <c r="AJ84" s="7">
        <v>4190436</v>
      </c>
    </row>
    <row r="85" spans="1:36" x14ac:dyDescent="0.3">
      <c r="A85" s="64" t="s">
        <v>181</v>
      </c>
      <c r="B85" s="1" t="s">
        <v>182</v>
      </c>
      <c r="C85" s="7" t="s">
        <v>81</v>
      </c>
      <c r="D85" s="7" t="s">
        <v>81</v>
      </c>
      <c r="E85" s="1" t="s">
        <v>381</v>
      </c>
      <c r="I85" s="47">
        <f>I84-I83</f>
        <v>-24165</v>
      </c>
      <c r="P85" s="47">
        <f>P84-P83</f>
        <v>134973</v>
      </c>
      <c r="Q85" s="47">
        <f t="shared" ref="Q85:R85" si="21">Q84-Q83</f>
        <v>195162</v>
      </c>
      <c r="R85" s="47">
        <f t="shared" si="21"/>
        <v>286929</v>
      </c>
      <c r="S85" s="47">
        <f t="shared" ref="S85" si="22">S84-S83</f>
        <v>311874</v>
      </c>
      <c r="T85" s="47">
        <f t="shared" ref="T85" si="23">T84-T83</f>
        <v>454501</v>
      </c>
      <c r="U85" s="47">
        <f t="shared" ref="U85" si="24">U84-U83</f>
        <v>2054842</v>
      </c>
      <c r="Y85" s="47">
        <f t="shared" ref="Y85" si="25">Y84-Y83</f>
        <v>150640</v>
      </c>
      <c r="Z85" s="47">
        <f t="shared" ref="Z85" si="26">Z84-Z83</f>
        <v>179758</v>
      </c>
      <c r="AA85" s="47">
        <f t="shared" ref="AA85:AC85" si="27">AA84-AA83</f>
        <v>31370</v>
      </c>
      <c r="AC85" s="47">
        <f t="shared" si="27"/>
        <v>-188084</v>
      </c>
      <c r="AD85" s="47">
        <f>AD84-AD83</f>
        <v>152308</v>
      </c>
      <c r="AE85" s="47">
        <f t="shared" ref="AE85" si="28">AE84-AE83</f>
        <v>154063</v>
      </c>
      <c r="AF85" s="47">
        <f t="shared" ref="AF85" si="29">AF84-AF83</f>
        <v>-159607</v>
      </c>
    </row>
    <row r="86" spans="1:36" x14ac:dyDescent="0.3">
      <c r="AH86" s="57" t="s">
        <v>617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workbookViewId="0">
      <pane xSplit="5" ySplit="2" topLeftCell="AE50" activePane="bottomRight" state="frozen"/>
      <selection pane="topRight" activeCell="F1" sqref="F1"/>
      <selection pane="bottomLeft" activeCell="A3" sqref="A3"/>
      <selection pane="bottomRight" activeCell="AG86" sqref="AG86"/>
    </sheetView>
  </sheetViews>
  <sheetFormatPr defaultColWidth="8.77734375" defaultRowHeight="14.4" x14ac:dyDescent="0.3"/>
  <cols>
    <col min="1" max="2" width="8.77734375" style="1"/>
    <col min="3" max="3" width="19.109375" style="1" customWidth="1"/>
    <col min="4" max="4" width="13.109375" style="1" customWidth="1"/>
    <col min="5" max="6" width="8.77734375" style="1"/>
    <col min="7" max="10" width="10.6640625" style="1" bestFit="1" customWidth="1"/>
    <col min="11" max="11" width="11.109375" style="1" bestFit="1" customWidth="1"/>
    <col min="12" max="17" width="8.77734375" style="1"/>
    <col min="18" max="20" width="11.109375" style="1" bestFit="1" customWidth="1"/>
    <col min="21" max="24" width="8.77734375" style="1"/>
    <col min="25" max="27" width="11.109375" style="1" bestFit="1" customWidth="1"/>
    <col min="28" max="28" width="10.77734375" style="1" bestFit="1" customWidth="1"/>
    <col min="29" max="29" width="11.109375" style="1" bestFit="1" customWidth="1"/>
    <col min="30" max="30" width="11.77734375" style="1" customWidth="1"/>
    <col min="31" max="31" width="11.109375" style="1" bestFit="1" customWidth="1"/>
    <col min="32" max="32" width="11.44140625" style="1" bestFit="1" customWidth="1"/>
    <col min="33" max="35" width="11.6640625" style="1" bestFit="1" customWidth="1"/>
    <col min="36" max="36" width="9" style="1" bestFit="1" customWidth="1"/>
    <col min="37" max="39" width="8.77734375" style="1"/>
    <col min="40" max="46" width="11.6640625" style="1" bestFit="1" customWidth="1"/>
    <col min="47" max="47" width="10.6640625" style="1" bestFit="1" customWidth="1"/>
    <col min="48" max="16384" width="8.77734375" style="1"/>
  </cols>
  <sheetData>
    <row r="1" spans="1:36" x14ac:dyDescent="0.3">
      <c r="F1" s="10"/>
      <c r="G1" s="11" t="s">
        <v>33</v>
      </c>
      <c r="H1" s="12"/>
      <c r="I1" s="12"/>
      <c r="J1" s="12"/>
      <c r="K1" s="12"/>
      <c r="L1" s="12"/>
      <c r="M1" s="10"/>
      <c r="N1" s="10"/>
      <c r="O1" s="10"/>
      <c r="P1" s="10"/>
      <c r="Q1" s="13"/>
      <c r="R1" s="13"/>
      <c r="S1" s="13"/>
      <c r="T1" s="13"/>
      <c r="U1" s="13"/>
      <c r="V1" s="13"/>
      <c r="W1" s="13"/>
      <c r="X1" s="13"/>
      <c r="Y1" s="13"/>
      <c r="Z1" s="14" t="s">
        <v>34</v>
      </c>
      <c r="AA1" s="13"/>
      <c r="AB1" s="13"/>
      <c r="AC1" s="13"/>
      <c r="AD1" s="14" t="s">
        <v>35</v>
      </c>
      <c r="AE1" s="13"/>
      <c r="AF1" s="13"/>
      <c r="AG1" s="13"/>
      <c r="AH1" s="13"/>
      <c r="AI1" s="13"/>
    </row>
    <row r="2" spans="1:36" x14ac:dyDescent="0.3">
      <c r="A2" s="2" t="s">
        <v>0</v>
      </c>
      <c r="B2" s="2" t="s">
        <v>1</v>
      </c>
      <c r="C2" s="2" t="s">
        <v>36</v>
      </c>
      <c r="D2" s="2" t="s">
        <v>37</v>
      </c>
      <c r="E2" s="2" t="s">
        <v>24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  <c r="AF2" s="5" t="s">
        <v>64</v>
      </c>
      <c r="AG2" s="5" t="s">
        <v>65</v>
      </c>
      <c r="AH2" s="5" t="s">
        <v>66</v>
      </c>
      <c r="AI2" s="5" t="s">
        <v>67</v>
      </c>
      <c r="AJ2" s="5" t="s">
        <v>82</v>
      </c>
    </row>
    <row r="3" spans="1:36" x14ac:dyDescent="0.3">
      <c r="A3" s="20" t="s">
        <v>181</v>
      </c>
      <c r="B3" s="1" t="s">
        <v>182</v>
      </c>
      <c r="C3" s="1" t="s">
        <v>159</v>
      </c>
      <c r="D3" s="1" t="s">
        <v>350</v>
      </c>
      <c r="E3" s="1" t="s">
        <v>183</v>
      </c>
      <c r="F3" s="10"/>
      <c r="G3" s="41">
        <v>551050</v>
      </c>
      <c r="H3" s="41">
        <v>592207</v>
      </c>
      <c r="I3" s="41">
        <v>597825</v>
      </c>
      <c r="J3" s="41">
        <v>667242</v>
      </c>
      <c r="K3" s="41">
        <v>587087</v>
      </c>
      <c r="L3" s="10"/>
      <c r="M3" s="10"/>
      <c r="N3" s="10"/>
      <c r="O3" s="10"/>
      <c r="P3" s="10"/>
      <c r="Q3" s="13"/>
      <c r="R3" s="38"/>
      <c r="S3" s="38"/>
      <c r="T3" s="38"/>
      <c r="U3" s="13"/>
      <c r="V3" s="13"/>
      <c r="W3" s="13"/>
      <c r="X3" s="13"/>
      <c r="Y3" s="38"/>
      <c r="Z3" s="38"/>
      <c r="AA3" s="38"/>
      <c r="AB3" s="38"/>
      <c r="AC3" s="13"/>
      <c r="AD3" s="13"/>
      <c r="AE3" s="13"/>
      <c r="AF3" s="13"/>
      <c r="AG3" s="13"/>
      <c r="AH3" s="13"/>
      <c r="AI3" s="13"/>
      <c r="AJ3" s="13"/>
    </row>
    <row r="4" spans="1:36" x14ac:dyDescent="0.3">
      <c r="A4" s="20" t="s">
        <v>181</v>
      </c>
      <c r="B4" s="1" t="s">
        <v>182</v>
      </c>
      <c r="C4" s="1" t="s">
        <v>159</v>
      </c>
      <c r="D4" s="1" t="s">
        <v>351</v>
      </c>
      <c r="E4" s="1" t="s">
        <v>183</v>
      </c>
      <c r="F4" s="10"/>
      <c r="G4" s="41">
        <v>480383</v>
      </c>
      <c r="H4" s="41">
        <v>485136</v>
      </c>
      <c r="I4" s="41">
        <v>443689</v>
      </c>
      <c r="J4" s="41">
        <v>567015</v>
      </c>
      <c r="K4" s="41">
        <v>780639</v>
      </c>
      <c r="L4" s="10"/>
      <c r="M4" s="10"/>
      <c r="N4" s="10"/>
      <c r="O4" s="10"/>
      <c r="P4" s="10"/>
      <c r="Q4" s="13"/>
      <c r="R4" s="38"/>
      <c r="S4" s="38"/>
      <c r="T4" s="38"/>
      <c r="U4" s="13"/>
      <c r="V4" s="13"/>
      <c r="W4" s="13"/>
      <c r="X4" s="13"/>
      <c r="Y4" s="38"/>
      <c r="Z4" s="38"/>
      <c r="AA4" s="38"/>
      <c r="AB4" s="38"/>
      <c r="AC4" s="13"/>
      <c r="AD4" s="13"/>
      <c r="AE4" s="13"/>
      <c r="AF4" s="13"/>
      <c r="AG4" s="13"/>
      <c r="AH4" s="13"/>
      <c r="AI4" s="13"/>
      <c r="AJ4" s="13"/>
    </row>
    <row r="5" spans="1:36" x14ac:dyDescent="0.3">
      <c r="A5" s="20" t="s">
        <v>181</v>
      </c>
      <c r="B5" s="1" t="s">
        <v>182</v>
      </c>
      <c r="C5" s="1" t="s">
        <v>159</v>
      </c>
      <c r="D5" s="1" t="s">
        <v>364</v>
      </c>
      <c r="E5" s="1" t="s">
        <v>183</v>
      </c>
      <c r="F5" s="10"/>
      <c r="G5" s="41"/>
      <c r="H5" s="41"/>
      <c r="I5" s="41"/>
      <c r="J5" s="41"/>
      <c r="K5" s="41"/>
      <c r="L5" s="10"/>
      <c r="M5" s="10"/>
      <c r="N5" s="10"/>
      <c r="O5" s="10"/>
      <c r="P5" s="10"/>
      <c r="Q5" s="13"/>
      <c r="R5" s="38">
        <v>658268</v>
      </c>
      <c r="S5" s="38">
        <v>972127</v>
      </c>
      <c r="T5" s="38">
        <v>216793</v>
      </c>
      <c r="U5" s="13"/>
      <c r="V5" s="13"/>
      <c r="W5" s="13"/>
      <c r="X5" s="13"/>
      <c r="Y5" s="38">
        <v>502056</v>
      </c>
      <c r="Z5" s="38">
        <v>1869997</v>
      </c>
      <c r="AA5" s="38">
        <v>1425963</v>
      </c>
      <c r="AB5" s="38"/>
      <c r="AC5" s="13"/>
      <c r="AD5" s="13"/>
      <c r="AE5" s="13"/>
      <c r="AF5" s="13"/>
      <c r="AG5" s="13">
        <v>459929</v>
      </c>
      <c r="AH5" s="13">
        <v>841599</v>
      </c>
      <c r="AI5" s="13">
        <v>739290</v>
      </c>
      <c r="AJ5" s="13"/>
    </row>
    <row r="6" spans="1:36" x14ac:dyDescent="0.3">
      <c r="A6" s="20" t="s">
        <v>181</v>
      </c>
      <c r="B6" s="1" t="s">
        <v>182</v>
      </c>
      <c r="C6" s="1" t="s">
        <v>159</v>
      </c>
      <c r="D6" s="1" t="s">
        <v>371</v>
      </c>
      <c r="E6" s="1" t="s">
        <v>183</v>
      </c>
      <c r="F6" s="10"/>
      <c r="G6" s="41"/>
      <c r="H6" s="41"/>
      <c r="I6" s="41"/>
      <c r="J6" s="41"/>
      <c r="K6" s="41"/>
      <c r="L6" s="10"/>
      <c r="M6" s="10"/>
      <c r="N6" s="10"/>
      <c r="O6" s="10"/>
      <c r="P6" s="10"/>
      <c r="Q6" s="13"/>
      <c r="R6" s="38">
        <v>669335</v>
      </c>
      <c r="S6" s="38">
        <v>699746</v>
      </c>
      <c r="T6" s="38">
        <v>723950</v>
      </c>
      <c r="U6" s="13"/>
      <c r="V6" s="13"/>
      <c r="W6" s="13"/>
      <c r="X6" s="13"/>
      <c r="Y6" s="38">
        <v>1353197</v>
      </c>
      <c r="Z6" s="38">
        <v>1000034</v>
      </c>
      <c r="AA6" s="38">
        <v>996936</v>
      </c>
      <c r="AB6" s="38"/>
      <c r="AC6" s="13"/>
      <c r="AD6" s="13"/>
      <c r="AE6" s="13"/>
      <c r="AF6" s="13"/>
      <c r="AG6" s="30">
        <v>1048101</v>
      </c>
      <c r="AH6" s="30">
        <v>993700</v>
      </c>
      <c r="AI6" s="30">
        <v>981435</v>
      </c>
      <c r="AJ6" s="13"/>
    </row>
    <row r="7" spans="1:36" x14ac:dyDescent="0.3">
      <c r="A7" s="20" t="s">
        <v>181</v>
      </c>
      <c r="B7" s="1" t="s">
        <v>182</v>
      </c>
      <c r="C7" s="1" t="s">
        <v>159</v>
      </c>
      <c r="D7" s="1" t="s">
        <v>365</v>
      </c>
      <c r="E7" s="1" t="s">
        <v>183</v>
      </c>
      <c r="F7" s="10"/>
      <c r="G7" s="41"/>
      <c r="H7" s="41"/>
      <c r="I7" s="41"/>
      <c r="J7" s="41"/>
      <c r="K7" s="41"/>
      <c r="L7" s="10"/>
      <c r="M7" s="10"/>
      <c r="N7" s="10"/>
      <c r="O7" s="10"/>
      <c r="P7" s="10"/>
      <c r="Q7" s="13"/>
      <c r="R7" s="38">
        <v>70218</v>
      </c>
      <c r="S7" s="38">
        <v>72346</v>
      </c>
      <c r="T7" s="38">
        <v>65087</v>
      </c>
      <c r="U7" s="13"/>
      <c r="V7" s="13"/>
      <c r="W7" s="13"/>
      <c r="X7" s="13"/>
      <c r="Y7" s="38">
        <v>68253</v>
      </c>
      <c r="Z7" s="38">
        <v>64176</v>
      </c>
      <c r="AA7" s="38">
        <v>96302</v>
      </c>
      <c r="AB7" s="38"/>
      <c r="AC7" s="13"/>
      <c r="AD7" s="13"/>
      <c r="AE7" s="13"/>
      <c r="AF7" s="13"/>
      <c r="AG7" s="30">
        <v>147782</v>
      </c>
      <c r="AH7" s="30">
        <v>105394</v>
      </c>
      <c r="AI7" s="30">
        <v>87119</v>
      </c>
      <c r="AJ7" s="13"/>
    </row>
    <row r="8" spans="1:36" x14ac:dyDescent="0.3">
      <c r="A8" s="20" t="s">
        <v>181</v>
      </c>
      <c r="B8" s="1" t="s">
        <v>182</v>
      </c>
      <c r="C8" s="1" t="s">
        <v>159</v>
      </c>
      <c r="D8" s="1" t="s">
        <v>366</v>
      </c>
      <c r="E8" s="1" t="s">
        <v>183</v>
      </c>
      <c r="F8" s="10"/>
      <c r="G8" s="41"/>
      <c r="H8" s="41"/>
      <c r="I8" s="41"/>
      <c r="J8" s="41"/>
      <c r="K8" s="41"/>
      <c r="L8" s="10"/>
      <c r="M8" s="10"/>
      <c r="N8" s="10"/>
      <c r="O8" s="10"/>
      <c r="P8" s="10"/>
      <c r="Q8" s="13"/>
      <c r="R8" s="38">
        <v>70796</v>
      </c>
      <c r="S8" s="38">
        <v>41325</v>
      </c>
      <c r="T8" s="38">
        <v>54382</v>
      </c>
      <c r="U8" s="13"/>
      <c r="V8" s="13"/>
      <c r="W8" s="13"/>
      <c r="X8" s="13"/>
      <c r="Y8" s="38">
        <v>83696</v>
      </c>
      <c r="Z8" s="38">
        <v>77941</v>
      </c>
      <c r="AA8" s="38">
        <v>96133</v>
      </c>
      <c r="AB8" s="38"/>
      <c r="AC8" s="13"/>
      <c r="AD8" s="13"/>
      <c r="AE8" s="13"/>
      <c r="AF8" s="13"/>
      <c r="AG8" s="30">
        <v>101631</v>
      </c>
      <c r="AH8" s="30">
        <v>91791</v>
      </c>
      <c r="AI8" s="30">
        <v>97994</v>
      </c>
      <c r="AJ8" s="13"/>
    </row>
    <row r="9" spans="1:36" x14ac:dyDescent="0.3">
      <c r="A9" s="20" t="s">
        <v>181</v>
      </c>
      <c r="B9" s="1" t="s">
        <v>182</v>
      </c>
      <c r="C9" s="1" t="s">
        <v>159</v>
      </c>
      <c r="D9" s="1" t="s">
        <v>367</v>
      </c>
      <c r="E9" s="1" t="s">
        <v>183</v>
      </c>
      <c r="F9" s="10"/>
      <c r="G9" s="41"/>
      <c r="H9" s="41"/>
      <c r="I9" s="41"/>
      <c r="J9" s="41"/>
      <c r="K9" s="41"/>
      <c r="L9" s="10"/>
      <c r="M9" s="10"/>
      <c r="N9" s="10"/>
      <c r="O9" s="10"/>
      <c r="P9" s="10"/>
      <c r="Q9" s="13"/>
      <c r="R9" s="38">
        <v>20810</v>
      </c>
      <c r="S9" s="38">
        <v>25588</v>
      </c>
      <c r="T9" s="38">
        <v>25816</v>
      </c>
      <c r="U9" s="13"/>
      <c r="V9" s="13"/>
      <c r="W9" s="13"/>
      <c r="X9" s="13"/>
      <c r="Y9" s="38">
        <v>36205</v>
      </c>
      <c r="Z9" s="38">
        <v>34522</v>
      </c>
      <c r="AA9" s="38">
        <v>36205</v>
      </c>
      <c r="AB9" s="38"/>
      <c r="AC9" s="13"/>
      <c r="AD9" s="13"/>
      <c r="AE9" s="13"/>
      <c r="AF9" s="13"/>
      <c r="AG9" s="30">
        <v>46772</v>
      </c>
      <c r="AH9" s="30">
        <v>53204</v>
      </c>
      <c r="AI9" s="30">
        <v>48829</v>
      </c>
      <c r="AJ9" s="13"/>
    </row>
    <row r="10" spans="1:36" x14ac:dyDescent="0.3">
      <c r="A10" s="20" t="s">
        <v>181</v>
      </c>
      <c r="B10" s="1" t="s">
        <v>182</v>
      </c>
      <c r="C10" s="7" t="s">
        <v>159</v>
      </c>
      <c r="E10" s="1" t="s">
        <v>183</v>
      </c>
      <c r="F10" s="10"/>
      <c r="G10" s="42">
        <f>SUM(G3:G9)</f>
        <v>1031433</v>
      </c>
      <c r="H10" s="42">
        <f>SUM(H3:H9)</f>
        <v>1077343</v>
      </c>
      <c r="I10" s="42">
        <f>SUM(I3:I9)</f>
        <v>1041514</v>
      </c>
      <c r="J10" s="42">
        <f>SUM(J3:J9)</f>
        <v>1234257</v>
      </c>
      <c r="K10" s="42">
        <f>SUM(K3:K9)</f>
        <v>1367726</v>
      </c>
      <c r="L10" s="10"/>
      <c r="M10" s="10"/>
      <c r="N10" s="10"/>
      <c r="O10" s="10"/>
      <c r="P10" s="10"/>
      <c r="Q10" s="13"/>
      <c r="R10" s="39">
        <f>SUM(R3:R9)</f>
        <v>1489427</v>
      </c>
      <c r="S10" s="39">
        <f>SUM(S3:S9)</f>
        <v>1811132</v>
      </c>
      <c r="T10" s="39">
        <f>SUM(T3:T9)</f>
        <v>1086028</v>
      </c>
      <c r="U10" s="13"/>
      <c r="V10" s="13"/>
      <c r="W10" s="13"/>
      <c r="X10" s="13"/>
      <c r="Y10" s="39">
        <f>SUM(Y3:Y9)</f>
        <v>2043407</v>
      </c>
      <c r="Z10" s="39">
        <f>SUM(Z3:Z9)</f>
        <v>3046670</v>
      </c>
      <c r="AA10" s="39">
        <f>SUM(AA3:AA9)</f>
        <v>2651539</v>
      </c>
      <c r="AB10" s="38"/>
      <c r="AC10" s="13"/>
      <c r="AD10" s="13"/>
      <c r="AE10" s="13"/>
      <c r="AF10" s="13"/>
      <c r="AG10" s="16">
        <f>SUM(AG3:AG9)</f>
        <v>1804215</v>
      </c>
      <c r="AH10" s="16">
        <f>SUM(AH3:AH9)</f>
        <v>2085688</v>
      </c>
      <c r="AI10" s="16">
        <f>SUM(AI3:AI9)</f>
        <v>1954667</v>
      </c>
      <c r="AJ10" s="13"/>
    </row>
    <row r="11" spans="1:36" x14ac:dyDescent="0.3">
      <c r="A11" s="20" t="s">
        <v>181</v>
      </c>
      <c r="B11" s="1" t="s">
        <v>182</v>
      </c>
      <c r="C11" s="1" t="s">
        <v>160</v>
      </c>
      <c r="D11" s="1" t="s">
        <v>348</v>
      </c>
      <c r="E11" s="1" t="s">
        <v>183</v>
      </c>
      <c r="F11" s="10"/>
      <c r="G11" s="41">
        <v>4866855</v>
      </c>
      <c r="H11" s="41">
        <v>4866855</v>
      </c>
      <c r="I11" s="41">
        <v>4866855</v>
      </c>
      <c r="J11" s="41">
        <v>4866855</v>
      </c>
      <c r="K11" s="41">
        <v>4866855</v>
      </c>
      <c r="L11" s="10"/>
      <c r="M11" s="10"/>
      <c r="N11" s="10"/>
      <c r="O11" s="10"/>
      <c r="P11" s="10"/>
      <c r="Q11" s="13"/>
      <c r="R11" s="38">
        <v>4866855</v>
      </c>
      <c r="S11" s="38">
        <v>4866855</v>
      </c>
      <c r="T11" s="38">
        <v>4866855</v>
      </c>
      <c r="U11" s="13"/>
      <c r="V11" s="13"/>
      <c r="W11" s="13"/>
      <c r="X11" s="13"/>
      <c r="Y11" s="38"/>
      <c r="Z11" s="38"/>
      <c r="AA11" s="38"/>
      <c r="AB11" s="38"/>
      <c r="AC11" s="13"/>
      <c r="AD11" s="13"/>
      <c r="AE11" s="13"/>
      <c r="AF11" s="13"/>
      <c r="AG11" s="50"/>
      <c r="AH11" s="50"/>
      <c r="AI11" s="50"/>
      <c r="AJ11" s="13"/>
    </row>
    <row r="12" spans="1:36" x14ac:dyDescent="0.3">
      <c r="A12" s="20" t="s">
        <v>181</v>
      </c>
      <c r="B12" s="1" t="s">
        <v>182</v>
      </c>
      <c r="C12" s="1" t="s">
        <v>160</v>
      </c>
      <c r="D12" s="1" t="s">
        <v>349</v>
      </c>
      <c r="E12" s="1" t="s">
        <v>183</v>
      </c>
      <c r="F12" s="15"/>
      <c r="G12" s="44">
        <v>186580</v>
      </c>
      <c r="H12" s="44">
        <v>0</v>
      </c>
      <c r="I12" s="44">
        <v>0</v>
      </c>
      <c r="J12" s="44">
        <v>0</v>
      </c>
      <c r="K12" s="44">
        <v>0</v>
      </c>
      <c r="L12" s="15"/>
      <c r="M12" s="15"/>
      <c r="N12" s="15"/>
      <c r="O12" s="15"/>
      <c r="P12" s="15"/>
      <c r="Q12" s="15"/>
      <c r="R12" s="36"/>
      <c r="S12" s="36"/>
      <c r="T12" s="36"/>
      <c r="U12" s="15"/>
      <c r="V12" s="15"/>
      <c r="W12" s="15"/>
      <c r="X12" s="15"/>
      <c r="Y12" s="36"/>
      <c r="Z12" s="36"/>
      <c r="AA12" s="36"/>
      <c r="AB12" s="36"/>
      <c r="AC12" s="15"/>
      <c r="AD12" s="15"/>
      <c r="AE12" s="15"/>
      <c r="AF12" s="15"/>
      <c r="AG12" s="35"/>
      <c r="AH12" s="35"/>
      <c r="AI12" s="35"/>
      <c r="AJ12" s="15"/>
    </row>
    <row r="13" spans="1:36" x14ac:dyDescent="0.3">
      <c r="A13" s="20" t="s">
        <v>181</v>
      </c>
      <c r="B13" s="1" t="s">
        <v>182</v>
      </c>
      <c r="C13" s="7" t="s">
        <v>160</v>
      </c>
      <c r="E13" s="1" t="s">
        <v>183</v>
      </c>
      <c r="F13" s="13"/>
      <c r="G13" s="42">
        <f>SUM(G11:G12)</f>
        <v>5053435</v>
      </c>
      <c r="H13" s="42">
        <f>SUM(H11:H12)</f>
        <v>4866855</v>
      </c>
      <c r="I13" s="42">
        <f>SUM(I11:I12)</f>
        <v>4866855</v>
      </c>
      <c r="J13" s="42">
        <f>SUM(J11:J12)</f>
        <v>4866855</v>
      </c>
      <c r="K13" s="42">
        <f>SUM(K11:K12)</f>
        <v>4866855</v>
      </c>
      <c r="L13" s="13"/>
      <c r="M13" s="13"/>
      <c r="N13" s="13"/>
      <c r="O13" s="13"/>
      <c r="P13" s="13"/>
      <c r="Q13" s="13"/>
      <c r="R13" s="39">
        <f>SUM(R11:R12)</f>
        <v>4866855</v>
      </c>
      <c r="S13" s="39">
        <f>SUM(S11:S12)</f>
        <v>4866855</v>
      </c>
      <c r="T13" s="39">
        <f>SUM(T11:T12)</f>
        <v>4866855</v>
      </c>
      <c r="U13" s="13"/>
      <c r="V13" s="13"/>
      <c r="W13" s="13"/>
      <c r="X13" s="13"/>
      <c r="Y13" s="39">
        <f>SUM(Y11:Y12)</f>
        <v>0</v>
      </c>
      <c r="Z13" s="39">
        <f>SUM(Z11:Z12)</f>
        <v>0</v>
      </c>
      <c r="AA13" s="39">
        <f>SUM(AA11:AA12)</f>
        <v>0</v>
      </c>
      <c r="AB13" s="38"/>
      <c r="AC13" s="13"/>
      <c r="AD13" s="13"/>
      <c r="AE13" s="13"/>
      <c r="AF13" s="13"/>
      <c r="AG13" s="16">
        <f>SUM(AG11:AG12)</f>
        <v>0</v>
      </c>
      <c r="AH13" s="16">
        <f>SUM(AH11:AH12)</f>
        <v>0</v>
      </c>
      <c r="AI13" s="16">
        <f>SUM(AI11:AI12)</f>
        <v>0</v>
      </c>
      <c r="AJ13" s="13"/>
    </row>
    <row r="14" spans="1:36" x14ac:dyDescent="0.3">
      <c r="A14" s="20" t="s">
        <v>181</v>
      </c>
      <c r="B14" s="1" t="s">
        <v>182</v>
      </c>
      <c r="C14" s="1" t="s">
        <v>161</v>
      </c>
      <c r="D14" s="1" t="s">
        <v>347</v>
      </c>
      <c r="E14" s="1" t="s">
        <v>183</v>
      </c>
      <c r="F14" s="13"/>
      <c r="G14" s="41">
        <v>7060046</v>
      </c>
      <c r="H14" s="41">
        <v>7475162</v>
      </c>
      <c r="I14" s="41">
        <v>7846972</v>
      </c>
      <c r="J14" s="41">
        <v>8010282</v>
      </c>
      <c r="K14" s="41">
        <v>8330842</v>
      </c>
      <c r="L14" s="13"/>
      <c r="M14" s="13"/>
      <c r="N14" s="13"/>
      <c r="O14" s="13"/>
      <c r="P14" s="13"/>
      <c r="Q14" s="13"/>
      <c r="R14" s="38">
        <v>11700952</v>
      </c>
      <c r="S14" s="38">
        <v>12535842</v>
      </c>
      <c r="T14" s="38">
        <v>13384177</v>
      </c>
      <c r="U14" s="13"/>
      <c r="V14" s="13"/>
      <c r="W14" s="13"/>
      <c r="X14" s="13"/>
      <c r="Y14" s="38"/>
      <c r="Z14" s="38"/>
      <c r="AA14" s="38"/>
      <c r="AB14" s="38"/>
      <c r="AC14" s="13"/>
      <c r="AD14" s="13"/>
      <c r="AE14" s="13"/>
      <c r="AF14" s="13"/>
      <c r="AG14" s="50"/>
      <c r="AH14" s="50"/>
      <c r="AI14" s="50"/>
      <c r="AJ14" s="13"/>
    </row>
    <row r="15" spans="1:36" x14ac:dyDescent="0.3">
      <c r="A15" s="20" t="s">
        <v>181</v>
      </c>
      <c r="B15" s="1" t="s">
        <v>182</v>
      </c>
      <c r="C15" s="1" t="s">
        <v>161</v>
      </c>
      <c r="D15" s="1" t="s">
        <v>363</v>
      </c>
      <c r="E15" s="1" t="s">
        <v>183</v>
      </c>
      <c r="F15" s="13"/>
      <c r="G15" s="41">
        <v>-3531742</v>
      </c>
      <c r="H15" s="41">
        <v>-3778582</v>
      </c>
      <c r="I15" s="41">
        <v>-4032859</v>
      </c>
      <c r="J15" s="41">
        <v>-4290402</v>
      </c>
      <c r="K15" s="41">
        <v>-4554356</v>
      </c>
      <c r="L15" s="13"/>
      <c r="M15" s="13"/>
      <c r="N15" s="13"/>
      <c r="O15" s="13"/>
      <c r="P15" s="13"/>
      <c r="Q15" s="13"/>
      <c r="R15" s="38">
        <v>-6630573</v>
      </c>
      <c r="S15" s="38">
        <v>-6978627</v>
      </c>
      <c r="T15" s="38">
        <v>-7343648</v>
      </c>
      <c r="U15" s="13"/>
      <c r="V15" s="13"/>
      <c r="W15" s="13"/>
      <c r="X15" s="13"/>
      <c r="Y15" s="38">
        <v>-8866031</v>
      </c>
      <c r="Z15" s="38">
        <v>-9342706</v>
      </c>
      <c r="AA15" s="38">
        <v>-9817740</v>
      </c>
      <c r="AB15" s="38"/>
      <c r="AC15" s="13"/>
      <c r="AD15" s="13"/>
      <c r="AE15" s="13"/>
      <c r="AF15" s="13"/>
      <c r="AG15" s="51">
        <v>-12974443</v>
      </c>
      <c r="AH15" s="51">
        <v>-13514997</v>
      </c>
      <c r="AI15" s="51">
        <v>-14091972</v>
      </c>
      <c r="AJ15" s="16"/>
    </row>
    <row r="16" spans="1:36" x14ac:dyDescent="0.3">
      <c r="A16" s="20" t="s">
        <v>181</v>
      </c>
      <c r="B16" s="1" t="s">
        <v>182</v>
      </c>
      <c r="C16" s="1" t="s">
        <v>161</v>
      </c>
      <c r="D16" s="19" t="s">
        <v>372</v>
      </c>
      <c r="E16" s="1" t="s">
        <v>183</v>
      </c>
      <c r="F16" s="15"/>
      <c r="G16" s="42"/>
      <c r="H16" s="42"/>
      <c r="I16" s="42"/>
      <c r="J16" s="42"/>
      <c r="K16" s="42"/>
      <c r="L16" s="15"/>
      <c r="M16" s="15"/>
      <c r="N16" s="15"/>
      <c r="O16" s="15"/>
      <c r="P16" s="15"/>
      <c r="Q16" s="15"/>
      <c r="R16" s="36"/>
      <c r="S16" s="36"/>
      <c r="T16" s="36"/>
      <c r="U16" s="15"/>
      <c r="V16" s="15"/>
      <c r="W16" s="15"/>
      <c r="X16" s="15"/>
      <c r="Y16" s="37">
        <v>23186844</v>
      </c>
      <c r="Z16" s="37">
        <v>23323978</v>
      </c>
      <c r="AA16" s="37">
        <v>23570925</v>
      </c>
      <c r="AB16" s="37"/>
      <c r="AC16" s="15"/>
      <c r="AD16" s="15"/>
      <c r="AE16" s="15"/>
      <c r="AF16" s="15"/>
      <c r="AG16" s="37">
        <v>27070622</v>
      </c>
      <c r="AH16" s="37">
        <v>27217736</v>
      </c>
      <c r="AI16" s="37">
        <v>27810862</v>
      </c>
      <c r="AJ16" s="15"/>
    </row>
    <row r="17" spans="1:36" x14ac:dyDescent="0.3">
      <c r="A17" s="20" t="s">
        <v>181</v>
      </c>
      <c r="B17" s="1" t="s">
        <v>182</v>
      </c>
      <c r="C17" s="7" t="s">
        <v>161</v>
      </c>
      <c r="E17" s="1" t="s">
        <v>183</v>
      </c>
      <c r="F17" s="13"/>
      <c r="G17" s="42">
        <f>SUM(G14:G16)</f>
        <v>3528304</v>
      </c>
      <c r="H17" s="42">
        <f>SUM(H14:H16)</f>
        <v>3696580</v>
      </c>
      <c r="I17" s="42">
        <f>SUM(I14:I16)</f>
        <v>3814113</v>
      </c>
      <c r="J17" s="42">
        <f>SUM(J14:J16)</f>
        <v>3719880</v>
      </c>
      <c r="K17" s="42">
        <f>SUM(K14:K16)</f>
        <v>3776486</v>
      </c>
      <c r="L17" s="13"/>
      <c r="M17" s="13"/>
      <c r="N17" s="13"/>
      <c r="O17" s="13"/>
      <c r="P17" s="13"/>
      <c r="Q17" s="13"/>
      <c r="R17" s="39">
        <f>SUM(R14:R16)</f>
        <v>5070379</v>
      </c>
      <c r="S17" s="39">
        <f>SUM(S14:S16)</f>
        <v>5557215</v>
      </c>
      <c r="T17" s="39">
        <f>SUM(T14:T16)</f>
        <v>6040529</v>
      </c>
      <c r="U17" s="13"/>
      <c r="V17" s="13"/>
      <c r="W17" s="13"/>
      <c r="X17" s="13"/>
      <c r="Y17" s="39">
        <f>SUM(Y14:Y16)</f>
        <v>14320813</v>
      </c>
      <c r="Z17" s="39">
        <f>SUM(Z14:Z16)</f>
        <v>13981272</v>
      </c>
      <c r="AA17" s="39">
        <f>SUM(AA14:AA16)</f>
        <v>13753185</v>
      </c>
      <c r="AB17" s="38"/>
      <c r="AC17" s="13"/>
      <c r="AD17" s="13"/>
      <c r="AE17" s="13"/>
      <c r="AF17" s="13"/>
      <c r="AG17" s="16">
        <f>SUM(AG14:AG16)</f>
        <v>14096179</v>
      </c>
      <c r="AH17" s="16">
        <f>SUM(AH14:AH16)</f>
        <v>13702739</v>
      </c>
      <c r="AI17" s="16">
        <f>SUM(AI14:AI16)</f>
        <v>13718890</v>
      </c>
      <c r="AJ17" s="13"/>
    </row>
    <row r="18" spans="1:36" x14ac:dyDescent="0.3">
      <c r="A18" s="20" t="s">
        <v>181</v>
      </c>
      <c r="B18" s="1" t="s">
        <v>182</v>
      </c>
      <c r="C18" s="19" t="s">
        <v>162</v>
      </c>
      <c r="D18" s="1" t="s">
        <v>368</v>
      </c>
      <c r="E18" s="1" t="s">
        <v>183</v>
      </c>
      <c r="F18" s="13"/>
      <c r="G18" s="41"/>
      <c r="H18" s="41"/>
      <c r="I18" s="41"/>
      <c r="J18" s="41"/>
      <c r="K18" s="41"/>
      <c r="L18" s="13"/>
      <c r="M18" s="13"/>
      <c r="N18" s="13"/>
      <c r="O18" s="13"/>
      <c r="P18" s="13"/>
      <c r="Q18" s="13"/>
      <c r="R18" s="38">
        <v>82627</v>
      </c>
      <c r="S18" s="38">
        <v>73446</v>
      </c>
      <c r="T18" s="38">
        <v>64265</v>
      </c>
      <c r="U18" s="13"/>
      <c r="V18" s="13"/>
      <c r="W18" s="13"/>
      <c r="X18" s="13"/>
      <c r="Y18" s="38">
        <v>146623</v>
      </c>
      <c r="Z18" s="38">
        <v>137459</v>
      </c>
      <c r="AA18" s="38">
        <v>128295</v>
      </c>
      <c r="AB18" s="38"/>
      <c r="AC18" s="13"/>
      <c r="AD18" s="13"/>
      <c r="AE18" s="13"/>
      <c r="AF18" s="13"/>
      <c r="AG18" s="50"/>
      <c r="AH18" s="50"/>
      <c r="AI18" s="50"/>
      <c r="AJ18" s="13"/>
    </row>
    <row r="19" spans="1:36" x14ac:dyDescent="0.3">
      <c r="A19" s="20" t="s">
        <v>181</v>
      </c>
      <c r="B19" s="1" t="s">
        <v>182</v>
      </c>
      <c r="C19" s="19" t="s">
        <v>162</v>
      </c>
      <c r="D19" s="1" t="s">
        <v>201</v>
      </c>
      <c r="E19" s="1" t="s">
        <v>183</v>
      </c>
      <c r="F19" s="13"/>
      <c r="G19" s="41"/>
      <c r="H19" s="41"/>
      <c r="I19" s="41"/>
      <c r="J19" s="41"/>
      <c r="K19" s="41"/>
      <c r="L19" s="13"/>
      <c r="M19" s="13"/>
      <c r="N19" s="13"/>
      <c r="O19" s="13"/>
      <c r="P19" s="13"/>
      <c r="Q19" s="13"/>
      <c r="R19" s="38">
        <v>2859</v>
      </c>
      <c r="S19" s="38">
        <v>0</v>
      </c>
      <c r="T19" s="38">
        <v>0</v>
      </c>
      <c r="U19" s="13"/>
      <c r="V19" s="13"/>
      <c r="W19" s="13"/>
      <c r="X19" s="13"/>
      <c r="Y19" s="38"/>
      <c r="Z19" s="38"/>
      <c r="AA19" s="38"/>
      <c r="AB19" s="38"/>
      <c r="AC19" s="13"/>
      <c r="AD19" s="13"/>
      <c r="AE19" s="13"/>
      <c r="AF19" s="13"/>
      <c r="AG19" s="13"/>
      <c r="AH19" s="13"/>
      <c r="AI19" s="13"/>
      <c r="AJ19" s="13"/>
    </row>
    <row r="20" spans="1:36" x14ac:dyDescent="0.3">
      <c r="A20" s="20" t="s">
        <v>181</v>
      </c>
      <c r="B20" s="1" t="s">
        <v>182</v>
      </c>
      <c r="C20" s="7" t="s">
        <v>162</v>
      </c>
      <c r="E20" s="1" t="s">
        <v>183</v>
      </c>
      <c r="F20" s="13"/>
      <c r="G20" s="41"/>
      <c r="H20" s="41"/>
      <c r="I20" s="41"/>
      <c r="J20" s="41"/>
      <c r="K20" s="41"/>
      <c r="L20" s="13"/>
      <c r="M20" s="13"/>
      <c r="N20" s="13"/>
      <c r="O20" s="13"/>
      <c r="P20" s="13"/>
      <c r="Q20" s="13"/>
      <c r="R20" s="39">
        <f>SUM(R18:R19)</f>
        <v>85486</v>
      </c>
      <c r="S20" s="39">
        <f>SUM(S18:S19)</f>
        <v>73446</v>
      </c>
      <c r="T20" s="39">
        <f>SUM(T18:T19)</f>
        <v>64265</v>
      </c>
      <c r="U20" s="13"/>
      <c r="V20" s="13"/>
      <c r="W20" s="13"/>
      <c r="X20" s="13"/>
      <c r="Y20" s="39">
        <f>SUM(Y18:Y19)</f>
        <v>146623</v>
      </c>
      <c r="Z20" s="39">
        <f>SUM(Z18:Z19)</f>
        <v>137459</v>
      </c>
      <c r="AA20" s="39">
        <f>SUM(AA18:AA19)</f>
        <v>128295</v>
      </c>
      <c r="AB20" s="38"/>
      <c r="AC20" s="13"/>
      <c r="AD20" s="13"/>
      <c r="AE20" s="13"/>
      <c r="AF20" s="13"/>
      <c r="AG20" s="49">
        <v>154154</v>
      </c>
      <c r="AH20" s="49">
        <v>143877</v>
      </c>
      <c r="AI20" s="49">
        <v>133600</v>
      </c>
      <c r="AJ20" s="13"/>
    </row>
    <row r="21" spans="1:36" x14ac:dyDescent="0.3">
      <c r="A21" s="20" t="s">
        <v>181</v>
      </c>
      <c r="B21" s="1" t="s">
        <v>182</v>
      </c>
      <c r="C21" s="7" t="s">
        <v>163</v>
      </c>
      <c r="D21" s="7"/>
      <c r="E21" s="1" t="s">
        <v>183</v>
      </c>
      <c r="F21" s="15"/>
      <c r="G21" s="42">
        <f>SUM(G10,G13,G17)</f>
        <v>9613172</v>
      </c>
      <c r="H21" s="42">
        <f>SUM(H10,H13,H17)</f>
        <v>9640778</v>
      </c>
      <c r="I21" s="42">
        <f>SUM(I10,I13,I17)</f>
        <v>9722482</v>
      </c>
      <c r="J21" s="42">
        <f>SUM(J10,J13,J17)</f>
        <v>9820992</v>
      </c>
      <c r="K21" s="42">
        <f>SUM(K10,K13,K17)</f>
        <v>10011067</v>
      </c>
      <c r="L21" s="15"/>
      <c r="M21" s="15"/>
      <c r="N21" s="15"/>
      <c r="O21" s="15"/>
      <c r="P21" s="15"/>
      <c r="Q21" s="15"/>
      <c r="R21" s="36">
        <f>SUM(R10,R13,R17,R20)</f>
        <v>11512147</v>
      </c>
      <c r="S21" s="36">
        <f>SUM(S10,S13,S17,S20)</f>
        <v>12308648</v>
      </c>
      <c r="T21" s="36">
        <f>SUM(T10,T13,T17,T20)</f>
        <v>12057677</v>
      </c>
      <c r="U21" s="15"/>
      <c r="V21" s="15"/>
      <c r="W21" s="15"/>
      <c r="X21" s="15"/>
      <c r="Y21" s="36">
        <f>SUM(Y10,Y13,Y17,Y20)</f>
        <v>16510843</v>
      </c>
      <c r="Z21" s="36">
        <f>SUM(Z10,Z13,Z17,Z20)</f>
        <v>17165401</v>
      </c>
      <c r="AA21" s="36">
        <f>SUM(AA10,AA13,AA17,AA20)</f>
        <v>16533019</v>
      </c>
      <c r="AB21" s="36"/>
      <c r="AC21" s="15"/>
      <c r="AD21" s="15"/>
      <c r="AE21" s="15"/>
      <c r="AF21" s="15"/>
      <c r="AG21" s="15">
        <f>SUM(AG10,AG13,AG17,AG20)</f>
        <v>16054548</v>
      </c>
      <c r="AH21" s="15">
        <f>SUM(AH10,AH13,AH17,AH20)</f>
        <v>15932304</v>
      </c>
      <c r="AI21" s="15">
        <f>SUM(AI10,AI13,AI17,AI20)</f>
        <v>15807157</v>
      </c>
      <c r="AJ21" s="15"/>
    </row>
    <row r="22" spans="1:36" x14ac:dyDescent="0.3">
      <c r="A22" s="20" t="s">
        <v>181</v>
      </c>
      <c r="B22" s="1" t="s">
        <v>182</v>
      </c>
      <c r="C22" s="1" t="s">
        <v>164</v>
      </c>
      <c r="D22" s="19" t="s">
        <v>352</v>
      </c>
      <c r="E22" s="1" t="s">
        <v>183</v>
      </c>
      <c r="F22" s="15"/>
      <c r="G22" s="44">
        <v>3770000</v>
      </c>
      <c r="H22" s="44">
        <v>3665000</v>
      </c>
      <c r="I22" s="44">
        <v>3555000</v>
      </c>
      <c r="J22" s="44">
        <v>3335000</v>
      </c>
      <c r="K22" s="44">
        <v>3295000</v>
      </c>
      <c r="L22" s="15"/>
      <c r="M22" s="15"/>
      <c r="N22" s="15"/>
      <c r="O22" s="15"/>
      <c r="P22" s="15"/>
      <c r="Q22" s="15"/>
      <c r="R22" s="37"/>
      <c r="S22" s="37"/>
      <c r="T22" s="37"/>
      <c r="U22" s="35"/>
      <c r="V22" s="15"/>
      <c r="W22" s="15"/>
      <c r="X22" s="15"/>
      <c r="Y22" s="37"/>
      <c r="Z22" s="37"/>
      <c r="AA22" s="37"/>
      <c r="AB22" s="36"/>
      <c r="AC22" s="15"/>
      <c r="AD22" s="15"/>
      <c r="AE22" s="15"/>
      <c r="AF22" s="15"/>
      <c r="AG22" s="35"/>
      <c r="AH22" s="35"/>
      <c r="AI22" s="35"/>
      <c r="AJ22" s="15"/>
    </row>
    <row r="23" spans="1:36" x14ac:dyDescent="0.3">
      <c r="A23" s="20" t="s">
        <v>181</v>
      </c>
      <c r="B23" s="1" t="s">
        <v>182</v>
      </c>
      <c r="C23" s="1" t="s">
        <v>164</v>
      </c>
      <c r="D23" s="19" t="s">
        <v>353</v>
      </c>
      <c r="E23" s="1" t="s">
        <v>183</v>
      </c>
      <c r="F23" s="15"/>
      <c r="G23" s="44">
        <v>405000</v>
      </c>
      <c r="H23" s="44">
        <v>350000</v>
      </c>
      <c r="I23" s="44">
        <v>290000</v>
      </c>
      <c r="J23" s="44">
        <v>225000</v>
      </c>
      <c r="K23" s="44">
        <v>155000</v>
      </c>
      <c r="L23" s="15"/>
      <c r="M23" s="15"/>
      <c r="N23" s="15"/>
      <c r="O23" s="15"/>
      <c r="P23" s="15"/>
      <c r="Q23" s="15"/>
      <c r="R23" s="37"/>
      <c r="S23" s="37"/>
      <c r="T23" s="37"/>
      <c r="U23" s="35"/>
      <c r="V23" s="15"/>
      <c r="W23" s="15"/>
      <c r="X23" s="15"/>
      <c r="Y23" s="37"/>
      <c r="Z23" s="37"/>
      <c r="AA23" s="37"/>
      <c r="AB23" s="36"/>
      <c r="AC23" s="15"/>
      <c r="AD23" s="15"/>
      <c r="AE23" s="15"/>
      <c r="AF23" s="15"/>
      <c r="AG23" s="35"/>
      <c r="AH23" s="35"/>
      <c r="AI23" s="35"/>
      <c r="AJ23" s="15"/>
    </row>
    <row r="24" spans="1:36" x14ac:dyDescent="0.3">
      <c r="A24" s="20" t="s">
        <v>181</v>
      </c>
      <c r="B24" s="1" t="s">
        <v>182</v>
      </c>
      <c r="C24" s="1" t="s">
        <v>164</v>
      </c>
      <c r="D24" s="19" t="s">
        <v>354</v>
      </c>
      <c r="E24" s="1" t="s">
        <v>183</v>
      </c>
      <c r="F24" s="15"/>
      <c r="G24" s="44">
        <v>27886</v>
      </c>
      <c r="H24" s="44">
        <v>6755</v>
      </c>
      <c r="I24" s="44">
        <v>9051</v>
      </c>
      <c r="J24" s="44">
        <v>9286</v>
      </c>
      <c r="K24" s="44">
        <v>8478</v>
      </c>
      <c r="L24" s="15"/>
      <c r="M24" s="15"/>
      <c r="N24" s="15"/>
      <c r="O24" s="15"/>
      <c r="P24" s="15"/>
      <c r="Q24" s="15"/>
      <c r="R24" s="37">
        <v>25664</v>
      </c>
      <c r="S24" s="37">
        <v>15239</v>
      </c>
      <c r="T24" s="37">
        <v>27593</v>
      </c>
      <c r="U24" s="35"/>
      <c r="V24" s="15"/>
      <c r="W24" s="15"/>
      <c r="X24" s="15"/>
      <c r="Y24" s="37">
        <v>94468</v>
      </c>
      <c r="Z24" s="37">
        <v>34354</v>
      </c>
      <c r="AA24" s="37">
        <v>25662</v>
      </c>
      <c r="AB24" s="36"/>
      <c r="AC24" s="15"/>
      <c r="AD24" s="15"/>
      <c r="AE24" s="15"/>
      <c r="AF24" s="15"/>
      <c r="AG24" s="52">
        <v>43539</v>
      </c>
      <c r="AH24" s="52">
        <v>46794</v>
      </c>
      <c r="AI24" s="52">
        <v>95652</v>
      </c>
      <c r="AJ24" s="15"/>
    </row>
    <row r="25" spans="1:36" x14ac:dyDescent="0.3">
      <c r="A25" s="20" t="s">
        <v>181</v>
      </c>
      <c r="B25" s="1" t="s">
        <v>182</v>
      </c>
      <c r="C25" s="1" t="s">
        <v>164</v>
      </c>
      <c r="D25" s="19" t="s">
        <v>355</v>
      </c>
      <c r="E25" s="1" t="s">
        <v>183</v>
      </c>
      <c r="F25" s="15"/>
      <c r="G25" s="44">
        <v>8936</v>
      </c>
      <c r="H25" s="44">
        <v>0</v>
      </c>
      <c r="I25" s="44">
        <v>0</v>
      </c>
      <c r="J25" s="44">
        <v>0</v>
      </c>
      <c r="K25" s="44">
        <v>0</v>
      </c>
      <c r="L25" s="15"/>
      <c r="M25" s="15"/>
      <c r="N25" s="15"/>
      <c r="O25" s="15"/>
      <c r="P25" s="15"/>
      <c r="Q25" s="15"/>
      <c r="R25" s="37">
        <v>15144</v>
      </c>
      <c r="S25" s="37">
        <v>3392</v>
      </c>
      <c r="T25" s="37">
        <v>3940</v>
      </c>
      <c r="U25" s="35"/>
      <c r="V25" s="15"/>
      <c r="W25" s="15"/>
      <c r="X25" s="15"/>
      <c r="Y25" s="37"/>
      <c r="Z25" s="37"/>
      <c r="AA25" s="37"/>
      <c r="AB25" s="36"/>
      <c r="AC25" s="15"/>
      <c r="AD25" s="15"/>
      <c r="AE25" s="15"/>
      <c r="AF25" s="15"/>
      <c r="AG25" s="35"/>
      <c r="AH25" s="35"/>
      <c r="AI25" s="35"/>
      <c r="AJ25" s="15"/>
    </row>
    <row r="26" spans="1:36" x14ac:dyDescent="0.3">
      <c r="A26" s="20" t="s">
        <v>181</v>
      </c>
      <c r="B26" s="1" t="s">
        <v>182</v>
      </c>
      <c r="C26" s="1" t="s">
        <v>164</v>
      </c>
      <c r="D26" s="1" t="s">
        <v>357</v>
      </c>
      <c r="E26" s="1" t="s">
        <v>183</v>
      </c>
      <c r="G26" s="43">
        <v>1759</v>
      </c>
      <c r="H26" s="43">
        <v>2163</v>
      </c>
      <c r="I26" s="43">
        <v>1660</v>
      </c>
      <c r="J26" s="43">
        <v>1733</v>
      </c>
      <c r="K26" s="43">
        <v>1961</v>
      </c>
      <c r="R26" s="46">
        <v>5772</v>
      </c>
      <c r="S26" s="46">
        <v>3727</v>
      </c>
      <c r="T26" s="46">
        <v>2482</v>
      </c>
      <c r="U26" s="19"/>
      <c r="Y26" s="46"/>
      <c r="Z26" s="46"/>
      <c r="AA26" s="46"/>
      <c r="AB26" s="40"/>
      <c r="AG26" s="19"/>
      <c r="AH26" s="19"/>
      <c r="AI26" s="19"/>
    </row>
    <row r="27" spans="1:36" x14ac:dyDescent="0.3">
      <c r="A27" s="20" t="s">
        <v>181</v>
      </c>
      <c r="B27" s="1" t="s">
        <v>182</v>
      </c>
      <c r="C27" s="1" t="s">
        <v>164</v>
      </c>
      <c r="D27" s="1" t="s">
        <v>373</v>
      </c>
      <c r="E27" s="1" t="s">
        <v>183</v>
      </c>
      <c r="G27" s="43"/>
      <c r="H27" s="43"/>
      <c r="I27" s="43"/>
      <c r="J27" s="43"/>
      <c r="K27" s="43"/>
      <c r="R27" s="40"/>
      <c r="S27" s="40"/>
      <c r="T27" s="40"/>
      <c r="Y27" s="46">
        <v>15291</v>
      </c>
      <c r="Z27" s="46">
        <v>26111</v>
      </c>
      <c r="AA27" s="46">
        <v>36280</v>
      </c>
      <c r="AB27" s="40"/>
      <c r="AG27" s="53">
        <v>16877</v>
      </c>
      <c r="AH27" s="53">
        <v>22112</v>
      </c>
      <c r="AI27" s="53">
        <v>21229</v>
      </c>
    </row>
    <row r="28" spans="1:36" x14ac:dyDescent="0.3">
      <c r="A28" s="20" t="s">
        <v>181</v>
      </c>
      <c r="B28" s="1" t="s">
        <v>182</v>
      </c>
      <c r="C28" s="1" t="s">
        <v>164</v>
      </c>
      <c r="D28" s="1" t="s">
        <v>374</v>
      </c>
      <c r="E28" s="1" t="s">
        <v>183</v>
      </c>
      <c r="G28" s="43"/>
      <c r="H28" s="43"/>
      <c r="I28" s="43"/>
      <c r="J28" s="43"/>
      <c r="K28" s="43"/>
      <c r="R28" s="40"/>
      <c r="S28" s="40"/>
      <c r="T28" s="40"/>
      <c r="Y28" s="40">
        <v>21888</v>
      </c>
      <c r="Z28" s="40">
        <v>21262</v>
      </c>
      <c r="AA28" s="40">
        <v>20666</v>
      </c>
      <c r="AB28" s="40"/>
      <c r="AG28" s="53">
        <v>28066</v>
      </c>
      <c r="AH28" s="53">
        <v>26138</v>
      </c>
      <c r="AI28" s="53">
        <v>26993</v>
      </c>
    </row>
    <row r="29" spans="1:36" x14ac:dyDescent="0.3">
      <c r="A29" s="20" t="s">
        <v>181</v>
      </c>
      <c r="B29" s="1" t="s">
        <v>182</v>
      </c>
      <c r="C29" s="1" t="s">
        <v>164</v>
      </c>
      <c r="D29" s="1" t="s">
        <v>375</v>
      </c>
      <c r="E29" s="1" t="s">
        <v>183</v>
      </c>
      <c r="G29" s="43"/>
      <c r="H29" s="43"/>
      <c r="I29" s="43"/>
      <c r="J29" s="43"/>
      <c r="K29" s="43"/>
      <c r="R29" s="40"/>
      <c r="S29" s="40"/>
      <c r="T29" s="40"/>
      <c r="Y29" s="40">
        <v>324173</v>
      </c>
      <c r="Z29" s="40">
        <v>299647</v>
      </c>
      <c r="AA29" s="40">
        <v>299832</v>
      </c>
      <c r="AB29" s="40"/>
      <c r="AG29" s="53">
        <v>355000</v>
      </c>
      <c r="AH29" s="53">
        <v>370000</v>
      </c>
      <c r="AI29" s="53">
        <v>385000</v>
      </c>
    </row>
    <row r="30" spans="1:36" x14ac:dyDescent="0.3">
      <c r="A30" s="20" t="s">
        <v>181</v>
      </c>
      <c r="B30" s="1" t="s">
        <v>182</v>
      </c>
      <c r="C30" s="7" t="s">
        <v>164</v>
      </c>
      <c r="E30" s="1" t="s">
        <v>183</v>
      </c>
      <c r="G30" s="45">
        <f>SUM(G22:G29)</f>
        <v>4213581</v>
      </c>
      <c r="H30" s="45">
        <f>SUM(H22:H29)</f>
        <v>4023918</v>
      </c>
      <c r="I30" s="45">
        <f>SUM(I22:I29)</f>
        <v>3855711</v>
      </c>
      <c r="J30" s="45">
        <f>SUM(J22:J29)</f>
        <v>3571019</v>
      </c>
      <c r="K30" s="45">
        <f>SUM(K22:K29)</f>
        <v>3460439</v>
      </c>
      <c r="R30" s="47">
        <f>SUM(R22:R29)</f>
        <v>46580</v>
      </c>
      <c r="S30" s="47">
        <f>SUM(S22:S29)</f>
        <v>22358</v>
      </c>
      <c r="T30" s="47">
        <f>SUM(T22:T29)</f>
        <v>34015</v>
      </c>
      <c r="Y30" s="47">
        <f>SUM(Y22:Y29)</f>
        <v>455820</v>
      </c>
      <c r="Z30" s="48">
        <f>SUM(Z22:Z29)</f>
        <v>381374</v>
      </c>
      <c r="AA30" s="47">
        <f>SUM(AA22:AA29)</f>
        <v>382440</v>
      </c>
      <c r="AB30" s="40"/>
      <c r="AG30" s="54">
        <f>SUM(AG22:AG29)</f>
        <v>443482</v>
      </c>
      <c r="AH30" s="54">
        <f>SUM(AH22:AH29)</f>
        <v>465044</v>
      </c>
      <c r="AI30" s="54">
        <f>SUM(AI22:AI29)</f>
        <v>528874</v>
      </c>
    </row>
    <row r="31" spans="1:36" x14ac:dyDescent="0.3">
      <c r="A31" s="20" t="s">
        <v>181</v>
      </c>
      <c r="B31" s="1" t="s">
        <v>182</v>
      </c>
      <c r="C31" s="1" t="s">
        <v>165</v>
      </c>
      <c r="D31" s="1" t="s">
        <v>358</v>
      </c>
      <c r="E31" s="1" t="s">
        <v>183</v>
      </c>
      <c r="G31" s="43">
        <v>0</v>
      </c>
      <c r="H31" s="43">
        <v>0</v>
      </c>
      <c r="I31" s="43">
        <v>117640</v>
      </c>
      <c r="J31" s="43">
        <v>140508</v>
      </c>
      <c r="K31" s="43">
        <v>134149</v>
      </c>
      <c r="R31" s="40">
        <v>89975</v>
      </c>
      <c r="S31" s="40">
        <v>82944</v>
      </c>
      <c r="T31" s="40">
        <v>75572</v>
      </c>
      <c r="Y31" s="40"/>
      <c r="Z31" s="40"/>
      <c r="AA31" s="40"/>
      <c r="AB31" s="40"/>
    </row>
    <row r="32" spans="1:36" x14ac:dyDescent="0.3">
      <c r="A32" s="20" t="s">
        <v>181</v>
      </c>
      <c r="B32" s="1" t="s">
        <v>182</v>
      </c>
      <c r="C32" s="1" t="s">
        <v>165</v>
      </c>
      <c r="D32" s="1" t="s">
        <v>359</v>
      </c>
      <c r="E32" s="1" t="s">
        <v>183</v>
      </c>
      <c r="G32" s="43">
        <v>0</v>
      </c>
      <c r="H32" s="43">
        <v>100000</v>
      </c>
      <c r="I32" s="43">
        <v>0</v>
      </c>
      <c r="J32" s="43">
        <v>0</v>
      </c>
      <c r="K32" s="43">
        <v>0</v>
      </c>
      <c r="R32" s="40">
        <v>697916</v>
      </c>
      <c r="S32" s="40">
        <v>987899</v>
      </c>
      <c r="T32" s="40">
        <v>810128</v>
      </c>
      <c r="Y32" s="40"/>
      <c r="Z32" s="40"/>
      <c r="AA32" s="40"/>
      <c r="AB32" s="40"/>
    </row>
    <row r="33" spans="1:36" x14ac:dyDescent="0.3">
      <c r="A33" s="20" t="s">
        <v>181</v>
      </c>
      <c r="B33" s="1" t="s">
        <v>182</v>
      </c>
      <c r="C33" s="1" t="s">
        <v>165</v>
      </c>
      <c r="D33" s="1" t="s">
        <v>369</v>
      </c>
      <c r="E33" s="1" t="s">
        <v>183</v>
      </c>
      <c r="G33" s="43"/>
      <c r="H33" s="43"/>
      <c r="I33" s="43"/>
      <c r="J33" s="43"/>
      <c r="K33" s="43"/>
      <c r="R33" s="40">
        <v>2315000</v>
      </c>
      <c r="S33" s="40">
        <v>2100000</v>
      </c>
      <c r="T33" s="40">
        <v>1875000</v>
      </c>
      <c r="Y33" s="40"/>
      <c r="Z33" s="40"/>
      <c r="AA33" s="40"/>
      <c r="AB33" s="40"/>
    </row>
    <row r="34" spans="1:36" x14ac:dyDescent="0.3">
      <c r="A34" s="20" t="s">
        <v>181</v>
      </c>
      <c r="B34" s="1" t="s">
        <v>182</v>
      </c>
      <c r="C34" s="1" t="s">
        <v>165</v>
      </c>
      <c r="D34" s="1" t="s">
        <v>376</v>
      </c>
      <c r="E34" s="1" t="s">
        <v>183</v>
      </c>
      <c r="G34" s="43"/>
      <c r="H34" s="43"/>
      <c r="I34" s="43"/>
      <c r="J34" s="43"/>
      <c r="K34" s="43"/>
      <c r="R34" s="40"/>
      <c r="S34" s="40"/>
      <c r="T34" s="40"/>
      <c r="Y34" s="40">
        <v>6139456</v>
      </c>
      <c r="Z34" s="40">
        <v>5839809</v>
      </c>
      <c r="AA34" s="40">
        <v>5544793</v>
      </c>
      <c r="AB34" s="40"/>
      <c r="AG34" s="40">
        <v>6650000</v>
      </c>
      <c r="AH34" s="40">
        <v>6280000</v>
      </c>
      <c r="AI34" s="40">
        <v>5895000</v>
      </c>
    </row>
    <row r="35" spans="1:36" x14ac:dyDescent="0.3">
      <c r="A35" s="20" t="s">
        <v>181</v>
      </c>
      <c r="B35" s="1" t="s">
        <v>182</v>
      </c>
      <c r="C35" s="1" t="s">
        <v>165</v>
      </c>
      <c r="D35" s="1" t="s">
        <v>356</v>
      </c>
      <c r="E35" s="1" t="s">
        <v>183</v>
      </c>
      <c r="G35" s="43">
        <v>227142</v>
      </c>
      <c r="H35" s="43">
        <v>244972</v>
      </c>
      <c r="I35" s="43">
        <v>292573</v>
      </c>
      <c r="J35" s="43">
        <v>284393</v>
      </c>
      <c r="K35" s="43">
        <v>315013</v>
      </c>
      <c r="R35" s="46">
        <v>430181</v>
      </c>
      <c r="S35" s="46">
        <v>191916</v>
      </c>
      <c r="T35" s="46">
        <v>235436</v>
      </c>
      <c r="Y35" s="40">
        <v>259590</v>
      </c>
      <c r="Z35" s="40">
        <v>255018</v>
      </c>
      <c r="AA35" s="40">
        <v>230987</v>
      </c>
      <c r="AB35" s="40"/>
      <c r="AG35" s="40">
        <v>219063</v>
      </c>
      <c r="AH35" s="40">
        <v>129872</v>
      </c>
      <c r="AI35" s="40">
        <v>217807</v>
      </c>
    </row>
    <row r="36" spans="1:36" x14ac:dyDescent="0.3">
      <c r="A36" s="20" t="s">
        <v>181</v>
      </c>
      <c r="B36" s="1" t="s">
        <v>182</v>
      </c>
      <c r="C36" s="7" t="s">
        <v>165</v>
      </c>
      <c r="E36" s="1" t="s">
        <v>183</v>
      </c>
      <c r="G36" s="45">
        <f>SUM(G31:G35)</f>
        <v>227142</v>
      </c>
      <c r="H36" s="45">
        <f>SUM(H31:H35)</f>
        <v>344972</v>
      </c>
      <c r="I36" s="45">
        <f>SUM(I31:I35)</f>
        <v>410213</v>
      </c>
      <c r="J36" s="45">
        <f>SUM(J31:J35)</f>
        <v>424901</v>
      </c>
      <c r="K36" s="45">
        <f>SUM(K31:K35)</f>
        <v>449162</v>
      </c>
      <c r="R36" s="47">
        <f>SUM(R31:R35)</f>
        <v>3533072</v>
      </c>
      <c r="S36" s="47">
        <f>SUM(S31:S35)</f>
        <v>3362759</v>
      </c>
      <c r="T36" s="47">
        <f>SUM(T31:T35)</f>
        <v>2996136</v>
      </c>
      <c r="Y36" s="47">
        <f>SUM(Y31:Y35)</f>
        <v>6399046</v>
      </c>
      <c r="Z36" s="47">
        <f>SUM(Z31:Z35)</f>
        <v>6094827</v>
      </c>
      <c r="AA36" s="47">
        <f>SUM(AA31:AA35)</f>
        <v>5775780</v>
      </c>
      <c r="AB36" s="40"/>
      <c r="AG36" s="47">
        <f>SUM(AG31:AG35)</f>
        <v>6869063</v>
      </c>
      <c r="AH36" s="47">
        <f>SUM(AH31:AH35)</f>
        <v>6409872</v>
      </c>
      <c r="AI36" s="47">
        <f>SUM(AI31:AI35)</f>
        <v>6112807</v>
      </c>
    </row>
    <row r="37" spans="1:36" x14ac:dyDescent="0.3">
      <c r="A37" s="20" t="s">
        <v>181</v>
      </c>
      <c r="B37" s="1" t="s">
        <v>182</v>
      </c>
      <c r="C37" s="7" t="s">
        <v>166</v>
      </c>
      <c r="E37" s="1" t="s">
        <v>183</v>
      </c>
      <c r="G37" s="45">
        <f>SUM(G30,G36)</f>
        <v>4440723</v>
      </c>
      <c r="H37" s="45">
        <f>SUM(H30,H36)</f>
        <v>4368890</v>
      </c>
      <c r="I37" s="45">
        <f>SUM(I30,I36)</f>
        <v>4265924</v>
      </c>
      <c r="J37" s="45">
        <f>SUM(J30,J36)</f>
        <v>3995920</v>
      </c>
      <c r="K37" s="45">
        <f>SUM(K30,K36)</f>
        <v>3909601</v>
      </c>
      <c r="R37" s="47">
        <f>SUM(R30,R36)</f>
        <v>3579652</v>
      </c>
      <c r="S37" s="47">
        <f>SUM(S30,S36)</f>
        <v>3385117</v>
      </c>
      <c r="T37" s="47">
        <f>SUM(T30,T36)</f>
        <v>3030151</v>
      </c>
      <c r="Y37" s="47">
        <f>SUM(Y30,Y36)</f>
        <v>6854866</v>
      </c>
      <c r="Z37" s="48">
        <f>SUM(Z30,Z36)</f>
        <v>6476201</v>
      </c>
      <c r="AA37" s="47">
        <f>SUM(AA30,AA36)</f>
        <v>6158220</v>
      </c>
      <c r="AB37" s="40"/>
      <c r="AG37" s="47">
        <f>SUM(AG30,AG36)</f>
        <v>7312545</v>
      </c>
      <c r="AH37" s="47">
        <f>SUM(AH30,AH36)</f>
        <v>6874916</v>
      </c>
      <c r="AI37" s="47">
        <f>SUM(AI30,AI36)</f>
        <v>6641681</v>
      </c>
    </row>
    <row r="38" spans="1:36" x14ac:dyDescent="0.3">
      <c r="A38" s="20" t="s">
        <v>181</v>
      </c>
      <c r="B38" s="1" t="s">
        <v>182</v>
      </c>
      <c r="C38" s="19" t="s">
        <v>167</v>
      </c>
      <c r="D38" s="1" t="s">
        <v>360</v>
      </c>
      <c r="E38" s="1" t="s">
        <v>183</v>
      </c>
      <c r="G38" s="43">
        <v>133599</v>
      </c>
      <c r="H38" s="43">
        <v>136052</v>
      </c>
      <c r="I38" s="43">
        <v>147165</v>
      </c>
      <c r="J38" s="43">
        <v>157553</v>
      </c>
      <c r="K38" s="43">
        <v>163597</v>
      </c>
      <c r="R38" s="40">
        <v>579925</v>
      </c>
      <c r="S38" s="40">
        <v>622399</v>
      </c>
      <c r="T38" s="40">
        <v>625675</v>
      </c>
      <c r="Y38" s="40"/>
      <c r="Z38" s="40"/>
      <c r="AA38" s="40"/>
      <c r="AB38" s="40"/>
    </row>
    <row r="39" spans="1:36" x14ac:dyDescent="0.3">
      <c r="A39" s="20" t="s">
        <v>181</v>
      </c>
      <c r="B39" s="1" t="s">
        <v>182</v>
      </c>
      <c r="C39" s="1" t="s">
        <v>167</v>
      </c>
      <c r="D39" s="1" t="s">
        <v>361</v>
      </c>
      <c r="E39" s="1" t="s">
        <v>183</v>
      </c>
      <c r="G39" s="43">
        <v>4855823</v>
      </c>
      <c r="H39" s="43">
        <v>5038850</v>
      </c>
      <c r="I39" s="43">
        <v>5135836</v>
      </c>
      <c r="J39" s="43">
        <v>5309393</v>
      </c>
      <c r="K39" s="43">
        <v>5582519</v>
      </c>
      <c r="R39" s="40"/>
      <c r="S39" s="40"/>
      <c r="T39" s="40"/>
      <c r="Y39" s="40"/>
      <c r="Z39" s="40"/>
      <c r="AA39" s="40"/>
      <c r="AB39" s="40"/>
    </row>
    <row r="40" spans="1:36" x14ac:dyDescent="0.3">
      <c r="A40" s="20" t="s">
        <v>181</v>
      </c>
      <c r="B40" s="1" t="s">
        <v>182</v>
      </c>
      <c r="C40" s="1" t="s">
        <v>167</v>
      </c>
      <c r="D40" s="1" t="s">
        <v>362</v>
      </c>
      <c r="E40" s="1" t="s">
        <v>183</v>
      </c>
      <c r="G40" s="43">
        <v>183027</v>
      </c>
      <c r="H40" s="43">
        <v>96986</v>
      </c>
      <c r="I40" s="43">
        <v>173557</v>
      </c>
      <c r="J40" s="43">
        <v>273126</v>
      </c>
      <c r="K40" s="43">
        <v>355350</v>
      </c>
      <c r="R40" s="40"/>
      <c r="S40" s="40"/>
      <c r="T40" s="40"/>
      <c r="Y40" s="40"/>
      <c r="Z40" s="40"/>
      <c r="AA40" s="40"/>
      <c r="AB40" s="40"/>
    </row>
    <row r="41" spans="1:36" x14ac:dyDescent="0.3">
      <c r="A41" s="20" t="s">
        <v>181</v>
      </c>
      <c r="B41" s="1" t="s">
        <v>182</v>
      </c>
      <c r="C41" s="1" t="s">
        <v>167</v>
      </c>
      <c r="D41" s="1" t="s">
        <v>370</v>
      </c>
      <c r="E41" s="1" t="s">
        <v>183</v>
      </c>
      <c r="G41" s="43"/>
      <c r="H41" s="43"/>
      <c r="I41" s="43"/>
      <c r="J41" s="43"/>
      <c r="K41" s="43"/>
      <c r="R41" s="40">
        <v>6483229</v>
      </c>
      <c r="S41" s="40">
        <v>8301132</v>
      </c>
      <c r="T41" s="40">
        <v>8401851</v>
      </c>
      <c r="Y41" s="40"/>
      <c r="Z41" s="40"/>
      <c r="AA41" s="40"/>
      <c r="AB41" s="40"/>
    </row>
    <row r="42" spans="1:36" x14ac:dyDescent="0.3">
      <c r="A42" s="20" t="s">
        <v>181</v>
      </c>
      <c r="B42" s="1" t="s">
        <v>182</v>
      </c>
      <c r="C42" s="1" t="s">
        <v>167</v>
      </c>
      <c r="D42" s="1" t="s">
        <v>379</v>
      </c>
      <c r="E42" s="1" t="s">
        <v>183</v>
      </c>
      <c r="G42" s="43"/>
      <c r="H42" s="43"/>
      <c r="I42" s="43"/>
      <c r="J42" s="43"/>
      <c r="K42" s="43"/>
      <c r="R42" s="40"/>
      <c r="S42" s="40"/>
      <c r="T42" s="40"/>
      <c r="Y42" s="40">
        <v>7857184</v>
      </c>
      <c r="Z42" s="40"/>
      <c r="AA42" s="40">
        <v>8208392</v>
      </c>
      <c r="AB42" s="40"/>
      <c r="AG42" s="40">
        <v>7446179</v>
      </c>
      <c r="AH42" s="40">
        <v>7422739</v>
      </c>
      <c r="AI42" s="40">
        <v>7823890</v>
      </c>
    </row>
    <row r="43" spans="1:36" x14ac:dyDescent="0.3">
      <c r="A43" s="20" t="s">
        <v>181</v>
      </c>
      <c r="B43" s="1" t="s">
        <v>182</v>
      </c>
      <c r="C43" s="1" t="s">
        <v>167</v>
      </c>
      <c r="D43" s="1" t="s">
        <v>377</v>
      </c>
      <c r="E43" s="1" t="s">
        <v>183</v>
      </c>
      <c r="G43" s="43"/>
      <c r="H43" s="43"/>
      <c r="I43" s="43"/>
      <c r="J43" s="43"/>
      <c r="K43" s="43"/>
      <c r="R43" s="40"/>
      <c r="S43" s="40"/>
      <c r="T43" s="40"/>
      <c r="Y43" s="40">
        <v>1798793</v>
      </c>
      <c r="Z43" s="40">
        <v>10689170</v>
      </c>
      <c r="AA43" s="40">
        <v>2166407</v>
      </c>
      <c r="AB43" s="40"/>
      <c r="AG43" s="40">
        <v>1295824</v>
      </c>
      <c r="AH43" s="40">
        <v>1634649</v>
      </c>
      <c r="AI43" s="40">
        <v>1341586</v>
      </c>
    </row>
    <row r="44" spans="1:36" x14ac:dyDescent="0.3">
      <c r="A44" s="20" t="s">
        <v>181</v>
      </c>
      <c r="B44" s="1" t="s">
        <v>182</v>
      </c>
      <c r="C44" s="7" t="s">
        <v>167</v>
      </c>
      <c r="E44" s="1" t="s">
        <v>183</v>
      </c>
      <c r="G44" s="45">
        <f>SUM(G38:G43)</f>
        <v>5172449</v>
      </c>
      <c r="H44" s="45">
        <f>SUM(H38:H43)</f>
        <v>5271888</v>
      </c>
      <c r="I44" s="45">
        <f>SUM(I38:I43)</f>
        <v>5456558</v>
      </c>
      <c r="J44" s="45">
        <f>SUM(J38:J43)</f>
        <v>5740072</v>
      </c>
      <c r="K44" s="45">
        <f>SUM(K38:K43)</f>
        <v>6101466</v>
      </c>
      <c r="R44" s="47">
        <f>SUM(R38:R43)</f>
        <v>7063154</v>
      </c>
      <c r="S44" s="47">
        <f>SUM(S38:S43)</f>
        <v>8923531</v>
      </c>
      <c r="T44" s="47">
        <f>SUM(T38:T43)</f>
        <v>9027526</v>
      </c>
      <c r="Y44" s="47">
        <f>SUM(Y38:Y43)</f>
        <v>9655977</v>
      </c>
      <c r="Z44" s="47">
        <f>SUM(Z38:Z43)</f>
        <v>10689170</v>
      </c>
      <c r="AA44" s="47">
        <f>SUM(AA38:AA43)</f>
        <v>10374799</v>
      </c>
      <c r="AB44" s="40"/>
      <c r="AG44" s="47">
        <f>SUM(AG38:AG43)</f>
        <v>8742003</v>
      </c>
      <c r="AH44" s="47">
        <f>SUM(AH38:AH43)</f>
        <v>9057388</v>
      </c>
      <c r="AI44" s="47">
        <f>SUM(AI38:AI43)</f>
        <v>9165476</v>
      </c>
    </row>
    <row r="45" spans="1:36" x14ac:dyDescent="0.3">
      <c r="A45" s="20" t="s">
        <v>181</v>
      </c>
      <c r="B45" s="1" t="s">
        <v>182</v>
      </c>
      <c r="C45" s="1" t="s">
        <v>169</v>
      </c>
      <c r="E45" s="1" t="s">
        <v>183</v>
      </c>
      <c r="G45" s="43"/>
      <c r="H45" s="43"/>
      <c r="I45" s="43"/>
      <c r="J45" s="43"/>
      <c r="K45" s="43"/>
      <c r="R45" s="40"/>
      <c r="S45" s="40"/>
      <c r="T45" s="40"/>
      <c r="Y45" s="40"/>
      <c r="Z45" s="40"/>
      <c r="AA45" s="40"/>
      <c r="AB45" s="40"/>
    </row>
    <row r="46" spans="1:36" x14ac:dyDescent="0.3">
      <c r="A46" s="20" t="s">
        <v>181</v>
      </c>
      <c r="B46" s="1" t="s">
        <v>182</v>
      </c>
      <c r="C46" s="7" t="s">
        <v>168</v>
      </c>
      <c r="E46" s="1" t="s">
        <v>183</v>
      </c>
      <c r="G46" s="45">
        <f>SUM(G37,G44)</f>
        <v>9613172</v>
      </c>
      <c r="H46" s="45">
        <f>SUM(H37,H44)</f>
        <v>9640778</v>
      </c>
      <c r="I46" s="45">
        <f>SUM(I37,I44)</f>
        <v>9722482</v>
      </c>
      <c r="J46" s="45">
        <f>SUM(J37,J44)</f>
        <v>9735992</v>
      </c>
      <c r="K46" s="45">
        <f>SUM(K37,K44)</f>
        <v>10011067</v>
      </c>
      <c r="R46" s="47">
        <f>SUM(R37,R44)</f>
        <v>10642806</v>
      </c>
      <c r="S46" s="47">
        <f>SUM(S37,S44)</f>
        <v>12308648</v>
      </c>
      <c r="T46" s="47">
        <f>SUM(T37,T44)</f>
        <v>12057677</v>
      </c>
      <c r="Y46" s="47">
        <f>SUM(Y37,Y44)</f>
        <v>16510843</v>
      </c>
      <c r="Z46" s="48">
        <f>SUM(Z37,Z44)</f>
        <v>17165371</v>
      </c>
      <c r="AA46" s="47">
        <f>SUM(AA37,AA44)</f>
        <v>16533019</v>
      </c>
      <c r="AB46" s="40"/>
      <c r="AG46" s="47">
        <f>SUM(AG37,AG44)</f>
        <v>16054548</v>
      </c>
      <c r="AH46" s="47">
        <f>SUM(AH37,AH44)</f>
        <v>15932304</v>
      </c>
      <c r="AI46" s="47">
        <f>SUM(AI37,AI44)</f>
        <v>15807157</v>
      </c>
    </row>
    <row r="47" spans="1:36" x14ac:dyDescent="0.3">
      <c r="A47" s="20" t="s">
        <v>181</v>
      </c>
      <c r="B47" s="1" t="s">
        <v>182</v>
      </c>
      <c r="C47" s="1" t="s">
        <v>159</v>
      </c>
      <c r="D47" s="1" t="s">
        <v>448</v>
      </c>
      <c r="E47" s="1" t="s">
        <v>381</v>
      </c>
      <c r="I47" s="40"/>
      <c r="Y47" s="40"/>
      <c r="Z47" s="40"/>
      <c r="AA47" s="40"/>
      <c r="AB47" s="40">
        <v>420054</v>
      </c>
      <c r="AC47" s="40">
        <v>425088</v>
      </c>
      <c r="AD47" s="40">
        <v>1035974</v>
      </c>
      <c r="AE47" s="40">
        <v>1069187</v>
      </c>
      <c r="AF47" s="40">
        <v>738479</v>
      </c>
      <c r="AG47" s="1">
        <v>732106</v>
      </c>
      <c r="AH47" s="1">
        <v>1604169</v>
      </c>
      <c r="AI47" s="1">
        <v>1645743</v>
      </c>
      <c r="AJ47" s="1">
        <v>1914054</v>
      </c>
    </row>
    <row r="48" spans="1:36" x14ac:dyDescent="0.3">
      <c r="A48" s="20" t="s">
        <v>181</v>
      </c>
      <c r="B48" s="1" t="s">
        <v>182</v>
      </c>
      <c r="C48" s="1" t="s">
        <v>159</v>
      </c>
      <c r="D48" s="1" t="s">
        <v>365</v>
      </c>
      <c r="E48" s="1" t="s">
        <v>381</v>
      </c>
      <c r="I48" s="40"/>
      <c r="AB48" s="40">
        <v>77966</v>
      </c>
      <c r="AC48" s="40">
        <v>78480</v>
      </c>
      <c r="AD48" s="40">
        <v>18476</v>
      </c>
      <c r="AE48" s="40">
        <v>18861</v>
      </c>
      <c r="AF48" s="40">
        <v>19248</v>
      </c>
      <c r="AG48" s="1">
        <v>19637</v>
      </c>
      <c r="AH48" s="1">
        <v>363607</v>
      </c>
      <c r="AI48" s="1">
        <v>297058</v>
      </c>
      <c r="AJ48" s="1">
        <v>302020</v>
      </c>
    </row>
    <row r="49" spans="1:36" x14ac:dyDescent="0.3">
      <c r="A49" s="20" t="s">
        <v>181</v>
      </c>
      <c r="B49" s="1" t="s">
        <v>182</v>
      </c>
      <c r="C49" s="1" t="s">
        <v>159</v>
      </c>
      <c r="D49" s="1" t="s">
        <v>449</v>
      </c>
      <c r="E49" s="1" t="s">
        <v>381</v>
      </c>
      <c r="I49" s="40"/>
      <c r="AB49" s="40">
        <v>60000</v>
      </c>
      <c r="AC49" s="40">
        <v>60000</v>
      </c>
      <c r="AD49" s="40">
        <v>60000</v>
      </c>
      <c r="AE49" s="40">
        <v>60000</v>
      </c>
      <c r="AF49" s="40">
        <v>60000</v>
      </c>
      <c r="AG49" s="1">
        <v>60000</v>
      </c>
      <c r="AH49" s="1" t="s">
        <v>194</v>
      </c>
      <c r="AI49" s="1" t="s">
        <v>194</v>
      </c>
      <c r="AJ49" s="1" t="s">
        <v>194</v>
      </c>
    </row>
    <row r="50" spans="1:36" x14ac:dyDescent="0.3">
      <c r="A50" s="20" t="s">
        <v>181</v>
      </c>
      <c r="B50" s="1" t="s">
        <v>182</v>
      </c>
      <c r="C50" s="1" t="s">
        <v>159</v>
      </c>
      <c r="D50" s="1" t="s">
        <v>605</v>
      </c>
      <c r="E50" s="1" t="s">
        <v>381</v>
      </c>
      <c r="I50" s="40"/>
      <c r="AB50" s="40"/>
      <c r="AC50" s="40"/>
      <c r="AD50" s="40"/>
      <c r="AE50" s="40"/>
      <c r="AF50" s="40"/>
      <c r="AH50" s="1">
        <v>18336</v>
      </c>
      <c r="AI50" s="1">
        <v>18344</v>
      </c>
      <c r="AJ50" s="1">
        <v>18360</v>
      </c>
    </row>
    <row r="51" spans="1:36" x14ac:dyDescent="0.3">
      <c r="A51" s="20" t="s">
        <v>181</v>
      </c>
      <c r="B51" s="1" t="s">
        <v>182</v>
      </c>
      <c r="C51" s="1" t="s">
        <v>159</v>
      </c>
      <c r="D51" s="1" t="s">
        <v>606</v>
      </c>
      <c r="E51" s="1" t="s">
        <v>381</v>
      </c>
      <c r="I51" s="40"/>
      <c r="AB51" s="40"/>
      <c r="AC51" s="40"/>
      <c r="AD51" s="40"/>
      <c r="AE51" s="40"/>
      <c r="AF51" s="40"/>
      <c r="AH51" s="1">
        <v>10855</v>
      </c>
      <c r="AI51" s="1">
        <v>16523</v>
      </c>
      <c r="AJ51" s="1">
        <v>13131</v>
      </c>
    </row>
    <row r="52" spans="1:36" x14ac:dyDescent="0.3">
      <c r="A52" s="20" t="s">
        <v>181</v>
      </c>
      <c r="B52" s="1" t="s">
        <v>182</v>
      </c>
      <c r="C52" s="7" t="s">
        <v>159</v>
      </c>
      <c r="D52" s="7" t="s">
        <v>243</v>
      </c>
      <c r="E52" s="7" t="s">
        <v>381</v>
      </c>
      <c r="I52" s="47">
        <f>SUM(I47:I49)</f>
        <v>0</v>
      </c>
      <c r="AB52" s="47">
        <f>SUM(AB47:AB49)</f>
        <v>558020</v>
      </c>
      <c r="AC52" s="47">
        <f t="shared" ref="AC52:AF52" si="0">SUM(AC47:AC49)</f>
        <v>563568</v>
      </c>
      <c r="AD52" s="47">
        <f t="shared" si="0"/>
        <v>1114450</v>
      </c>
      <c r="AE52" s="47">
        <f t="shared" si="0"/>
        <v>1148048</v>
      </c>
      <c r="AF52" s="47">
        <f t="shared" si="0"/>
        <v>817727</v>
      </c>
      <c r="AG52" s="7">
        <f>SUM(AG47:AG51)</f>
        <v>811743</v>
      </c>
      <c r="AH52" s="7">
        <f>SUM(AH47:AH51)</f>
        <v>1996967</v>
      </c>
      <c r="AI52" s="7">
        <f>SUM(AI47:AI51)</f>
        <v>1977668</v>
      </c>
      <c r="AJ52" s="7">
        <f>SUM(AJ47:AJ51)</f>
        <v>2247565</v>
      </c>
    </row>
    <row r="53" spans="1:36" x14ac:dyDescent="0.3">
      <c r="A53" s="20" t="s">
        <v>181</v>
      </c>
      <c r="B53" s="1" t="s">
        <v>182</v>
      </c>
      <c r="C53" s="1" t="s">
        <v>160</v>
      </c>
      <c r="D53" s="1" t="s">
        <v>442</v>
      </c>
      <c r="E53" s="1" t="s">
        <v>381</v>
      </c>
      <c r="I53" s="46">
        <v>29563</v>
      </c>
      <c r="AB53" s="40"/>
      <c r="AC53" s="40"/>
      <c r="AD53" s="40"/>
      <c r="AE53" s="40"/>
      <c r="AF53" s="40"/>
    </row>
    <row r="54" spans="1:36" x14ac:dyDescent="0.3">
      <c r="A54" s="20" t="s">
        <v>181</v>
      </c>
      <c r="B54" s="1" t="s">
        <v>182</v>
      </c>
      <c r="C54" s="1" t="s">
        <v>160</v>
      </c>
      <c r="D54" s="1" t="s">
        <v>443</v>
      </c>
      <c r="E54" s="1" t="s">
        <v>381</v>
      </c>
      <c r="I54" s="40">
        <v>192781</v>
      </c>
      <c r="AB54" s="40"/>
      <c r="AC54" s="40"/>
      <c r="AD54" s="40"/>
      <c r="AE54" s="40"/>
      <c r="AF54" s="40"/>
    </row>
    <row r="55" spans="1:36" x14ac:dyDescent="0.3">
      <c r="A55" s="20" t="s">
        <v>181</v>
      </c>
      <c r="B55" s="1" t="s">
        <v>182</v>
      </c>
      <c r="C55" s="1" t="s">
        <v>160</v>
      </c>
      <c r="D55" s="1" t="s">
        <v>444</v>
      </c>
      <c r="E55" s="1" t="s">
        <v>381</v>
      </c>
      <c r="I55" s="40">
        <v>337795</v>
      </c>
      <c r="AB55" s="40"/>
      <c r="AC55" s="40"/>
      <c r="AD55" s="40"/>
      <c r="AE55" s="40"/>
      <c r="AF55" s="40"/>
    </row>
    <row r="56" spans="1:36" x14ac:dyDescent="0.3">
      <c r="A56" s="20" t="s">
        <v>181</v>
      </c>
      <c r="B56" s="1" t="s">
        <v>182</v>
      </c>
      <c r="C56" s="1" t="s">
        <v>160</v>
      </c>
      <c r="D56" s="1" t="s">
        <v>445</v>
      </c>
      <c r="E56" s="1" t="s">
        <v>381</v>
      </c>
      <c r="I56" s="40">
        <v>100000</v>
      </c>
      <c r="AB56" s="40"/>
      <c r="AC56" s="40"/>
      <c r="AD56" s="40"/>
      <c r="AE56" s="40"/>
      <c r="AF56" s="40"/>
    </row>
    <row r="57" spans="1:36" x14ac:dyDescent="0.3">
      <c r="A57" s="20" t="s">
        <v>181</v>
      </c>
      <c r="B57" s="1" t="s">
        <v>182</v>
      </c>
      <c r="C57" s="1" t="s">
        <v>160</v>
      </c>
      <c r="D57" s="1" t="s">
        <v>450</v>
      </c>
      <c r="E57" s="1" t="s">
        <v>381</v>
      </c>
      <c r="I57" s="40"/>
      <c r="AB57" s="40">
        <v>1422110</v>
      </c>
      <c r="AC57" s="40">
        <v>1422106</v>
      </c>
      <c r="AD57" s="40">
        <v>879089</v>
      </c>
      <c r="AE57" s="40">
        <v>850148</v>
      </c>
      <c r="AF57" s="40">
        <v>840755</v>
      </c>
      <c r="AG57" s="1">
        <v>190028</v>
      </c>
    </row>
    <row r="58" spans="1:36" x14ac:dyDescent="0.3">
      <c r="A58" s="20" t="s">
        <v>181</v>
      </c>
      <c r="B58" s="1" t="s">
        <v>182</v>
      </c>
      <c r="C58" s="7" t="s">
        <v>160</v>
      </c>
      <c r="D58" s="7" t="s">
        <v>243</v>
      </c>
      <c r="E58" s="7" t="s">
        <v>381</v>
      </c>
      <c r="I58" s="47">
        <f>SUM(I53:I57)</f>
        <v>660139</v>
      </c>
      <c r="AB58" s="47">
        <f>SUM(AB53:AB57)</f>
        <v>1422110</v>
      </c>
      <c r="AC58" s="47">
        <f t="shared" ref="AC58:AG58" si="1">SUM(AC53:AC57)</f>
        <v>1422106</v>
      </c>
      <c r="AD58" s="47">
        <f t="shared" si="1"/>
        <v>879089</v>
      </c>
      <c r="AE58" s="47">
        <f t="shared" si="1"/>
        <v>850148</v>
      </c>
      <c r="AF58" s="47">
        <f t="shared" si="1"/>
        <v>840755</v>
      </c>
      <c r="AG58" s="47">
        <f t="shared" si="1"/>
        <v>190028</v>
      </c>
      <c r="AH58" s="7">
        <v>0</v>
      </c>
      <c r="AI58" s="7">
        <v>0</v>
      </c>
      <c r="AJ58" s="7">
        <v>0</v>
      </c>
    </row>
    <row r="59" spans="1:36" x14ac:dyDescent="0.3">
      <c r="A59" s="20" t="s">
        <v>181</v>
      </c>
      <c r="B59" s="1" t="s">
        <v>182</v>
      </c>
      <c r="C59" s="1" t="s">
        <v>161</v>
      </c>
      <c r="D59" s="1" t="s">
        <v>378</v>
      </c>
      <c r="E59" s="1" t="s">
        <v>381</v>
      </c>
      <c r="I59" s="40"/>
      <c r="AB59" s="40">
        <v>29267679</v>
      </c>
      <c r="AC59" s="40">
        <v>29267679</v>
      </c>
      <c r="AD59" s="40">
        <v>29267679</v>
      </c>
      <c r="AE59" s="40">
        <v>29267679</v>
      </c>
      <c r="AF59" s="40">
        <v>29267679</v>
      </c>
      <c r="AG59" s="1">
        <v>29267679</v>
      </c>
      <c r="AH59" s="1">
        <f>1110912+11692+140835+1896770</f>
        <v>3160209</v>
      </c>
      <c r="AI59" s="1">
        <f>1308323+11692+150080+2003752</f>
        <v>3473847</v>
      </c>
      <c r="AJ59" s="1">
        <f>1345690+11692+175801+2123725</f>
        <v>3656908</v>
      </c>
    </row>
    <row r="60" spans="1:36" x14ac:dyDescent="0.3">
      <c r="A60" s="20" t="s">
        <v>181</v>
      </c>
      <c r="B60" s="1" t="s">
        <v>182</v>
      </c>
      <c r="C60" s="1" t="s">
        <v>161</v>
      </c>
      <c r="D60" s="1" t="s">
        <v>363</v>
      </c>
      <c r="E60" s="1" t="s">
        <v>381</v>
      </c>
      <c r="I60" s="40"/>
      <c r="AB60" s="40">
        <v>-9579031</v>
      </c>
      <c r="AC60" s="40">
        <v>-10198519</v>
      </c>
      <c r="AD60" s="40">
        <v>-10817309</v>
      </c>
      <c r="AE60" s="40">
        <v>-11435234</v>
      </c>
      <c r="AF60" s="40">
        <v>-12053159</v>
      </c>
      <c r="AG60" s="1">
        <v>-12670888</v>
      </c>
      <c r="AH60" s="1">
        <v>-1209753</v>
      </c>
      <c r="AI60" s="1">
        <v>-1349302</v>
      </c>
      <c r="AJ60" s="1">
        <v>-1496624</v>
      </c>
    </row>
    <row r="61" spans="1:36" x14ac:dyDescent="0.3">
      <c r="A61" s="20" t="s">
        <v>181</v>
      </c>
      <c r="B61" s="1" t="s">
        <v>182</v>
      </c>
      <c r="C61" s="7" t="s">
        <v>161</v>
      </c>
      <c r="D61" s="7" t="s">
        <v>243</v>
      </c>
      <c r="E61" s="7" t="s">
        <v>381</v>
      </c>
      <c r="I61" s="47">
        <f>SUM(I59:I59)</f>
        <v>0</v>
      </c>
      <c r="AB61" s="7">
        <f t="shared" ref="AB61:AF61" si="2">SUM(AB59:AB60)</f>
        <v>19688648</v>
      </c>
      <c r="AC61" s="7">
        <f t="shared" si="2"/>
        <v>19069160</v>
      </c>
      <c r="AD61" s="7">
        <f t="shared" si="2"/>
        <v>18450370</v>
      </c>
      <c r="AE61" s="7">
        <f t="shared" si="2"/>
        <v>17832445</v>
      </c>
      <c r="AF61" s="7">
        <f t="shared" si="2"/>
        <v>17214520</v>
      </c>
      <c r="AG61" s="7">
        <f>SUM(AG59:AG60)</f>
        <v>16596791</v>
      </c>
      <c r="AH61" s="7">
        <f>SUM(AH59:AH60)</f>
        <v>1950456</v>
      </c>
      <c r="AI61" s="7">
        <v>2124545</v>
      </c>
      <c r="AJ61" s="7">
        <v>2160284</v>
      </c>
    </row>
    <row r="62" spans="1:36" x14ac:dyDescent="0.3">
      <c r="A62" s="20" t="s">
        <v>181</v>
      </c>
      <c r="B62" s="1" t="s">
        <v>182</v>
      </c>
      <c r="C62" s="19" t="s">
        <v>162</v>
      </c>
      <c r="D62" s="1" t="s">
        <v>446</v>
      </c>
      <c r="E62" s="1" t="s">
        <v>381</v>
      </c>
      <c r="I62" s="46">
        <v>6723779</v>
      </c>
      <c r="AB62" s="40"/>
      <c r="AC62" s="40"/>
      <c r="AD62" s="40"/>
      <c r="AE62" s="40"/>
      <c r="AF62" s="40"/>
    </row>
    <row r="63" spans="1:36" x14ac:dyDescent="0.3">
      <c r="A63" s="20" t="s">
        <v>181</v>
      </c>
      <c r="B63" s="1" t="s">
        <v>182</v>
      </c>
      <c r="C63" s="19" t="s">
        <v>162</v>
      </c>
      <c r="D63" s="1" t="s">
        <v>363</v>
      </c>
      <c r="E63" s="1" t="s">
        <v>381</v>
      </c>
      <c r="I63" s="40">
        <v>-1534030</v>
      </c>
    </row>
    <row r="64" spans="1:36" x14ac:dyDescent="0.3">
      <c r="A64" s="20" t="s">
        <v>181</v>
      </c>
      <c r="B64" s="1" t="s">
        <v>182</v>
      </c>
      <c r="C64" s="19" t="s">
        <v>162</v>
      </c>
      <c r="D64" s="1" t="s">
        <v>451</v>
      </c>
      <c r="E64" s="1" t="s">
        <v>381</v>
      </c>
      <c r="I64" s="40"/>
      <c r="AB64" s="40">
        <v>78875</v>
      </c>
      <c r="AC64" s="40">
        <v>71650</v>
      </c>
      <c r="AD64" s="40">
        <v>64425</v>
      </c>
      <c r="AE64" s="40">
        <v>57200</v>
      </c>
      <c r="AF64" s="40"/>
    </row>
    <row r="65" spans="1:36" x14ac:dyDescent="0.3">
      <c r="A65" s="20" t="s">
        <v>181</v>
      </c>
      <c r="B65" s="1" t="s">
        <v>182</v>
      </c>
      <c r="C65" s="7" t="s">
        <v>162</v>
      </c>
      <c r="D65" s="7" t="s">
        <v>243</v>
      </c>
      <c r="E65" s="7" t="s">
        <v>381</v>
      </c>
      <c r="I65" s="47">
        <f>SUM(I62:I64)</f>
        <v>5189749</v>
      </c>
      <c r="AB65" s="47">
        <f>SUM(AB62:AB64)</f>
        <v>78875</v>
      </c>
      <c r="AC65" s="47">
        <f t="shared" ref="AC65:AG65" si="3">SUM(AC62:AC64)</f>
        <v>71650</v>
      </c>
      <c r="AD65" s="47">
        <f t="shared" si="3"/>
        <v>64425</v>
      </c>
      <c r="AE65" s="47">
        <f t="shared" si="3"/>
        <v>57200</v>
      </c>
      <c r="AF65" s="47">
        <f t="shared" si="3"/>
        <v>0</v>
      </c>
      <c r="AG65" s="47">
        <f t="shared" si="3"/>
        <v>0</v>
      </c>
      <c r="AH65" s="7">
        <v>0</v>
      </c>
      <c r="AI65" s="7">
        <v>0</v>
      </c>
      <c r="AJ65" s="7">
        <v>0</v>
      </c>
    </row>
    <row r="66" spans="1:36" x14ac:dyDescent="0.3">
      <c r="A66" s="20" t="s">
        <v>181</v>
      </c>
      <c r="B66" s="1" t="s">
        <v>182</v>
      </c>
      <c r="C66" s="7" t="s">
        <v>163</v>
      </c>
      <c r="D66" s="7" t="s">
        <v>243</v>
      </c>
      <c r="E66" s="7" t="s">
        <v>381</v>
      </c>
      <c r="I66" s="47">
        <f>SUM(I52,I58,I61,I65)</f>
        <v>5849888</v>
      </c>
      <c r="AB66" s="47">
        <f>SUM(AB52,AB58,AB61,AB65)</f>
        <v>21747653</v>
      </c>
      <c r="AC66" s="47">
        <f t="shared" ref="AC66:AG66" si="4">SUM(AC52,AC58,AC61,AC65)</f>
        <v>21126484</v>
      </c>
      <c r="AD66" s="47">
        <f t="shared" si="4"/>
        <v>20508334</v>
      </c>
      <c r="AE66" s="47">
        <f t="shared" si="4"/>
        <v>19887841</v>
      </c>
      <c r="AF66" s="47">
        <f t="shared" si="4"/>
        <v>18873002</v>
      </c>
      <c r="AG66" s="47">
        <f t="shared" si="4"/>
        <v>17598562</v>
      </c>
      <c r="AH66" s="7">
        <f>SUM(AH65,AH61,AH52)</f>
        <v>3947423</v>
      </c>
      <c r="AI66" s="7">
        <f>SUM(AI65,AI61,AI52)</f>
        <v>4102213</v>
      </c>
      <c r="AJ66" s="7">
        <f>SUM(AJ65,AJ61,AJ52)</f>
        <v>4407849</v>
      </c>
    </row>
    <row r="67" spans="1:36" x14ac:dyDescent="0.3">
      <c r="A67" s="20" t="s">
        <v>181</v>
      </c>
      <c r="B67" s="1" t="s">
        <v>182</v>
      </c>
      <c r="C67" s="1" t="s">
        <v>164</v>
      </c>
      <c r="D67" s="19" t="s">
        <v>354</v>
      </c>
      <c r="E67" s="1" t="s">
        <v>381</v>
      </c>
      <c r="I67" s="40"/>
      <c r="AB67" s="40">
        <v>765</v>
      </c>
      <c r="AC67" s="40">
        <v>121</v>
      </c>
      <c r="AD67" s="40">
        <v>525</v>
      </c>
      <c r="AE67" s="40">
        <v>5390</v>
      </c>
      <c r="AF67" s="40"/>
      <c r="AG67" s="1">
        <v>125</v>
      </c>
      <c r="AH67" s="1">
        <v>192660</v>
      </c>
      <c r="AI67" s="1">
        <v>50417</v>
      </c>
      <c r="AJ67" s="1">
        <f>46706</f>
        <v>46706</v>
      </c>
    </row>
    <row r="68" spans="1:36" x14ac:dyDescent="0.3">
      <c r="A68" s="20" t="s">
        <v>181</v>
      </c>
      <c r="B68" s="1" t="s">
        <v>182</v>
      </c>
      <c r="C68" s="1" t="s">
        <v>164</v>
      </c>
      <c r="D68" s="19" t="s">
        <v>453</v>
      </c>
      <c r="E68" s="1" t="s">
        <v>381</v>
      </c>
      <c r="I68" s="40"/>
      <c r="AB68" s="40"/>
      <c r="AC68" s="40">
        <v>150</v>
      </c>
      <c r="AD68" s="40">
        <v>184</v>
      </c>
      <c r="AE68" s="40">
        <v>11</v>
      </c>
      <c r="AF68" s="40"/>
      <c r="AG68" s="1" t="s">
        <v>194</v>
      </c>
      <c r="AH68" s="1" t="s">
        <v>194</v>
      </c>
      <c r="AI68" s="1" t="s">
        <v>194</v>
      </c>
      <c r="AJ68" s="1" t="s">
        <v>194</v>
      </c>
    </row>
    <row r="69" spans="1:36" x14ac:dyDescent="0.3">
      <c r="A69" s="20" t="s">
        <v>181</v>
      </c>
      <c r="B69" s="1" t="s">
        <v>182</v>
      </c>
      <c r="C69" s="1" t="s">
        <v>164</v>
      </c>
      <c r="D69" s="19" t="s">
        <v>454</v>
      </c>
      <c r="E69" s="1" t="s">
        <v>381</v>
      </c>
      <c r="I69" s="40"/>
      <c r="AB69" s="40">
        <v>459675</v>
      </c>
      <c r="AC69" s="40">
        <v>797984</v>
      </c>
      <c r="AD69" s="40">
        <v>806331</v>
      </c>
      <c r="AE69" s="40">
        <v>819716</v>
      </c>
      <c r="AF69" s="40">
        <v>828141</v>
      </c>
      <c r="AG69" s="1">
        <v>881606</v>
      </c>
      <c r="AH69" s="1">
        <v>11112</v>
      </c>
      <c r="AI69" s="1">
        <v>10932</v>
      </c>
      <c r="AJ69" s="1">
        <v>12833</v>
      </c>
    </row>
    <row r="70" spans="1:36" x14ac:dyDescent="0.3">
      <c r="A70" s="20" t="s">
        <v>181</v>
      </c>
      <c r="B70" s="1" t="s">
        <v>182</v>
      </c>
      <c r="C70" s="1" t="s">
        <v>164</v>
      </c>
      <c r="D70" s="19" t="s">
        <v>608</v>
      </c>
      <c r="E70" s="1" t="s">
        <v>381</v>
      </c>
      <c r="I70" s="40"/>
      <c r="AB70" s="40"/>
      <c r="AC70" s="40"/>
      <c r="AD70" s="40"/>
      <c r="AE70" s="40"/>
      <c r="AF70" s="40"/>
      <c r="AG70" s="1" t="s">
        <v>194</v>
      </c>
      <c r="AH70" s="1">
        <v>60875</v>
      </c>
      <c r="AI70" s="1">
        <v>60875</v>
      </c>
      <c r="AJ70" s="1">
        <v>80875</v>
      </c>
    </row>
    <row r="71" spans="1:36" x14ac:dyDescent="0.3">
      <c r="A71" s="20" t="s">
        <v>181</v>
      </c>
      <c r="B71" s="1" t="s">
        <v>182</v>
      </c>
      <c r="C71" s="1" t="s">
        <v>164</v>
      </c>
      <c r="D71" s="19" t="s">
        <v>607</v>
      </c>
      <c r="E71" s="1" t="s">
        <v>381</v>
      </c>
      <c r="I71" s="40"/>
      <c r="AB71" s="40"/>
      <c r="AC71" s="40"/>
      <c r="AD71" s="40"/>
      <c r="AE71" s="40"/>
      <c r="AF71" s="40"/>
      <c r="AG71" s="1" t="s">
        <v>194</v>
      </c>
      <c r="AH71" s="1">
        <v>64672</v>
      </c>
      <c r="AI71" s="1">
        <v>62625</v>
      </c>
      <c r="AJ71" s="1">
        <v>61307</v>
      </c>
    </row>
    <row r="72" spans="1:36" x14ac:dyDescent="0.3">
      <c r="A72" s="20" t="s">
        <v>181</v>
      </c>
      <c r="B72" s="1" t="s">
        <v>182</v>
      </c>
      <c r="C72" s="1" t="s">
        <v>164</v>
      </c>
      <c r="D72" s="19" t="s">
        <v>615</v>
      </c>
      <c r="E72" s="1" t="s">
        <v>381</v>
      </c>
      <c r="I72" s="40"/>
      <c r="AB72" s="40"/>
      <c r="AC72" s="40"/>
      <c r="AD72" s="40"/>
      <c r="AE72" s="40"/>
      <c r="AF72" s="40"/>
      <c r="AG72" s="1" t="s">
        <v>194</v>
      </c>
      <c r="AH72" s="1" t="s">
        <v>194</v>
      </c>
      <c r="AI72" s="1">
        <v>4360</v>
      </c>
      <c r="AJ72" s="1">
        <v>0</v>
      </c>
    </row>
    <row r="73" spans="1:36" x14ac:dyDescent="0.3">
      <c r="A73" s="20" t="s">
        <v>181</v>
      </c>
      <c r="B73" s="1" t="s">
        <v>182</v>
      </c>
      <c r="C73" s="7" t="s">
        <v>164</v>
      </c>
      <c r="D73" s="7" t="s">
        <v>243</v>
      </c>
      <c r="E73" s="7" t="s">
        <v>381</v>
      </c>
      <c r="I73" s="47">
        <f>SUM(I67:I69)</f>
        <v>0</v>
      </c>
      <c r="AB73" s="47">
        <f>SUM(AB67:AB69)</f>
        <v>460440</v>
      </c>
      <c r="AC73" s="47">
        <f>SUM(AC67:AC69)</f>
        <v>798255</v>
      </c>
      <c r="AD73" s="47">
        <f>SUM(AD67:AD69)</f>
        <v>807040</v>
      </c>
      <c r="AE73" s="47">
        <f>SUM(AE67:AE69)</f>
        <v>825117</v>
      </c>
      <c r="AF73" s="47">
        <f>SUM(AF67:AF69)</f>
        <v>828141</v>
      </c>
      <c r="AG73" s="47">
        <f>SUM(AG67:AG69)</f>
        <v>881731</v>
      </c>
      <c r="AH73" s="7">
        <f>SUM(AH67:AH72)</f>
        <v>329319</v>
      </c>
      <c r="AI73" s="7">
        <f>SUM(AI67:AI72)</f>
        <v>189209</v>
      </c>
      <c r="AJ73" s="7">
        <f>SUM(AJ67:AJ72)</f>
        <v>201721</v>
      </c>
    </row>
    <row r="74" spans="1:36" x14ac:dyDescent="0.3">
      <c r="A74" s="20" t="s">
        <v>181</v>
      </c>
      <c r="B74" s="1" t="s">
        <v>182</v>
      </c>
      <c r="C74" s="1" t="s">
        <v>165</v>
      </c>
      <c r="D74" s="1" t="s">
        <v>609</v>
      </c>
      <c r="E74" s="1" t="s">
        <v>381</v>
      </c>
      <c r="I74" s="40">
        <v>3050000</v>
      </c>
      <c r="AB74" s="40">
        <v>5264323</v>
      </c>
      <c r="AC74" s="40">
        <v>4871407</v>
      </c>
      <c r="AD74" s="40">
        <v>4293492</v>
      </c>
      <c r="AE74" s="40">
        <v>3795577</v>
      </c>
      <c r="AF74" s="40">
        <v>3440815</v>
      </c>
      <c r="AG74" s="1">
        <f>2255000+72201</f>
        <v>2327201</v>
      </c>
      <c r="AH74" s="1" t="s">
        <v>194</v>
      </c>
      <c r="AI74" s="1" t="s">
        <v>194</v>
      </c>
      <c r="AJ74" s="1" t="s">
        <v>194</v>
      </c>
    </row>
    <row r="75" spans="1:36" x14ac:dyDescent="0.3">
      <c r="A75" s="20" t="s">
        <v>181</v>
      </c>
      <c r="B75" s="1" t="s">
        <v>182</v>
      </c>
      <c r="C75" s="1" t="s">
        <v>165</v>
      </c>
      <c r="D75" s="1" t="s">
        <v>610</v>
      </c>
      <c r="E75" s="1" t="s">
        <v>381</v>
      </c>
      <c r="I75" s="40"/>
      <c r="AG75" s="1" t="s">
        <v>194</v>
      </c>
      <c r="AH75" s="1">
        <v>13707</v>
      </c>
      <c r="AI75" s="1">
        <v>16255</v>
      </c>
      <c r="AJ75" s="1">
        <v>15692</v>
      </c>
    </row>
    <row r="76" spans="1:36" x14ac:dyDescent="0.3">
      <c r="A76" s="20" t="s">
        <v>181</v>
      </c>
      <c r="B76" s="1" t="s">
        <v>182</v>
      </c>
      <c r="C76" s="1" t="s">
        <v>165</v>
      </c>
      <c r="D76" s="1" t="s">
        <v>455</v>
      </c>
      <c r="E76" s="1" t="s">
        <v>381</v>
      </c>
      <c r="I76" s="40"/>
      <c r="AB76" s="40">
        <v>3658102</v>
      </c>
      <c r="AC76" s="40">
        <v>3370118</v>
      </c>
      <c r="AD76" s="40">
        <v>3078787</v>
      </c>
      <c r="AE76" s="40">
        <v>2784072</v>
      </c>
      <c r="AF76" s="40">
        <v>2485931</v>
      </c>
      <c r="AG76" s="1">
        <v>2184325</v>
      </c>
      <c r="AH76" s="1" t="s">
        <v>194</v>
      </c>
      <c r="AI76" s="1" t="s">
        <v>194</v>
      </c>
      <c r="AJ76" s="1" t="s">
        <v>194</v>
      </c>
    </row>
    <row r="77" spans="1:36" x14ac:dyDescent="0.3">
      <c r="A77" s="20" t="s">
        <v>181</v>
      </c>
      <c r="B77" s="1" t="s">
        <v>182</v>
      </c>
      <c r="C77" s="7" t="s">
        <v>165</v>
      </c>
      <c r="D77" s="7" t="s">
        <v>243</v>
      </c>
      <c r="E77" s="7" t="s">
        <v>381</v>
      </c>
      <c r="I77" s="47">
        <f>SUM(I74:I76)</f>
        <v>3050000</v>
      </c>
      <c r="AB77" s="47">
        <f>SUM(AB74:AB76)</f>
        <v>8922425</v>
      </c>
      <c r="AC77" s="47">
        <f>SUM(AC74:AC76)</f>
        <v>8241525</v>
      </c>
      <c r="AD77" s="47">
        <f>SUM(AD74:AD76)</f>
        <v>7372279</v>
      </c>
      <c r="AE77" s="47">
        <f>SUM(AE74:AE76)</f>
        <v>6579649</v>
      </c>
      <c r="AF77" s="47">
        <f>SUM(AF74:AF76)</f>
        <v>5926746</v>
      </c>
      <c r="AG77" s="47">
        <f>SUM(AG74:AG76)</f>
        <v>4511526</v>
      </c>
      <c r="AH77" s="7">
        <f>SUM(AH74:AH76)</f>
        <v>13707</v>
      </c>
      <c r="AI77" s="7">
        <f>SUM(AI74:AI76)</f>
        <v>16255</v>
      </c>
      <c r="AJ77" s="7">
        <f>SUM(AJ74:AJ76)</f>
        <v>15692</v>
      </c>
    </row>
    <row r="78" spans="1:36" x14ac:dyDescent="0.3">
      <c r="A78" s="20" t="s">
        <v>181</v>
      </c>
      <c r="B78" s="1" t="s">
        <v>182</v>
      </c>
      <c r="C78" s="7" t="s">
        <v>166</v>
      </c>
      <c r="D78" s="7" t="s">
        <v>243</v>
      </c>
      <c r="E78" s="7" t="s">
        <v>381</v>
      </c>
      <c r="I78" s="47">
        <f>SUM(I77,I73)</f>
        <v>3050000</v>
      </c>
      <c r="AB78" s="47">
        <f>SUM(AB73,AB77)</f>
        <v>9382865</v>
      </c>
      <c r="AC78" s="47">
        <f t="shared" ref="AC78:AG78" si="5">SUM(AC73,AC77)</f>
        <v>9039780</v>
      </c>
      <c r="AD78" s="47">
        <f t="shared" si="5"/>
        <v>8179319</v>
      </c>
      <c r="AE78" s="47">
        <f t="shared" si="5"/>
        <v>7404766</v>
      </c>
      <c r="AF78" s="47">
        <f t="shared" si="5"/>
        <v>6754887</v>
      </c>
      <c r="AG78" s="47">
        <f t="shared" si="5"/>
        <v>5393257</v>
      </c>
      <c r="AH78" s="7">
        <f>SUM(AH77,AH73)</f>
        <v>343026</v>
      </c>
      <c r="AI78" s="7">
        <f>SUM(AI77,AI73)</f>
        <v>205464</v>
      </c>
      <c r="AJ78" s="7">
        <f>SUM(AJ77,AJ73)</f>
        <v>217413</v>
      </c>
    </row>
    <row r="79" spans="1:36" x14ac:dyDescent="0.3">
      <c r="A79" s="20" t="s">
        <v>181</v>
      </c>
      <c r="B79" s="1" t="s">
        <v>182</v>
      </c>
      <c r="C79" s="19" t="s">
        <v>167</v>
      </c>
      <c r="D79" s="1" t="s">
        <v>447</v>
      </c>
      <c r="E79" s="1" t="s">
        <v>381</v>
      </c>
      <c r="I79" s="40">
        <v>500000</v>
      </c>
      <c r="AB79" s="40"/>
      <c r="AC79" s="40"/>
      <c r="AD79" s="40"/>
      <c r="AE79" s="40"/>
      <c r="AF79" s="40"/>
      <c r="AH79" s="1" t="s">
        <v>194</v>
      </c>
      <c r="AI79" s="1" t="s">
        <v>194</v>
      </c>
      <c r="AJ79" s="1" t="s">
        <v>194</v>
      </c>
    </row>
    <row r="80" spans="1:36" x14ac:dyDescent="0.3">
      <c r="A80" s="20" t="s">
        <v>181</v>
      </c>
      <c r="B80" s="1" t="s">
        <v>182</v>
      </c>
      <c r="C80" s="1" t="s">
        <v>167</v>
      </c>
      <c r="D80" s="1" t="s">
        <v>370</v>
      </c>
      <c r="E80" s="1" t="s">
        <v>381</v>
      </c>
      <c r="I80" s="40">
        <v>2299888</v>
      </c>
      <c r="AB80" s="40"/>
      <c r="AC80" s="40"/>
      <c r="AD80" s="40"/>
      <c r="AE80" s="40"/>
      <c r="AF80" s="40"/>
      <c r="AH80" s="1" t="s">
        <v>194</v>
      </c>
      <c r="AI80" s="1" t="s">
        <v>194</v>
      </c>
      <c r="AJ80" s="1" t="s">
        <v>194</v>
      </c>
    </row>
    <row r="81" spans="1:36" x14ac:dyDescent="0.3">
      <c r="A81" s="20" t="s">
        <v>181</v>
      </c>
      <c r="B81" s="1" t="s">
        <v>182</v>
      </c>
      <c r="C81" s="1" t="s">
        <v>167</v>
      </c>
      <c r="D81" s="1" t="s">
        <v>379</v>
      </c>
      <c r="E81" s="1" t="s">
        <v>381</v>
      </c>
      <c r="I81" s="40"/>
      <c r="AB81" s="40">
        <v>10306548</v>
      </c>
      <c r="AC81" s="40">
        <v>10119651</v>
      </c>
      <c r="AD81" s="40">
        <v>10271760</v>
      </c>
      <c r="AE81" s="40">
        <v>10433080</v>
      </c>
      <c r="AF81" s="40">
        <v>10459633</v>
      </c>
      <c r="AG81" s="1">
        <v>11203659</v>
      </c>
      <c r="AH81" s="1" t="s">
        <v>194</v>
      </c>
      <c r="AI81" s="1" t="s">
        <v>194</v>
      </c>
      <c r="AJ81" s="1" t="s">
        <v>194</v>
      </c>
    </row>
    <row r="82" spans="1:36" x14ac:dyDescent="0.3">
      <c r="A82" s="20" t="s">
        <v>181</v>
      </c>
      <c r="B82" s="1" t="s">
        <v>182</v>
      </c>
      <c r="C82" s="1" t="s">
        <v>167</v>
      </c>
      <c r="D82" s="1" t="s">
        <v>456</v>
      </c>
      <c r="E82" s="1" t="s">
        <v>381</v>
      </c>
      <c r="I82" s="40"/>
      <c r="AB82" s="40">
        <v>1422110</v>
      </c>
      <c r="AC82" s="40">
        <v>1422106</v>
      </c>
      <c r="AD82" s="40">
        <v>879089</v>
      </c>
      <c r="AE82" s="40">
        <v>850148</v>
      </c>
      <c r="AF82" s="40">
        <v>840755</v>
      </c>
      <c r="AG82" s="1">
        <v>190028</v>
      </c>
      <c r="AH82" s="1">
        <v>1950456</v>
      </c>
      <c r="AI82" s="1">
        <v>2124545</v>
      </c>
      <c r="AJ82" s="1">
        <v>2160284</v>
      </c>
    </row>
    <row r="83" spans="1:36" x14ac:dyDescent="0.3">
      <c r="A83" s="20" t="s">
        <v>181</v>
      </c>
      <c r="B83" s="1" t="s">
        <v>182</v>
      </c>
      <c r="C83" s="1" t="s">
        <v>167</v>
      </c>
      <c r="D83" s="1" t="s">
        <v>377</v>
      </c>
      <c r="E83" s="1" t="s">
        <v>381</v>
      </c>
      <c r="I83" s="40"/>
      <c r="AB83" s="40">
        <f>636130</f>
        <v>636130</v>
      </c>
      <c r="AC83" s="40">
        <v>634947</v>
      </c>
      <c r="AD83" s="40">
        <v>1178163</v>
      </c>
      <c r="AE83" s="40">
        <v>1199847</v>
      </c>
      <c r="AF83" s="40">
        <v>965880</v>
      </c>
      <c r="AG83" s="1">
        <v>968711</v>
      </c>
      <c r="AH83" s="1">
        <v>1653941</v>
      </c>
      <c r="AI83" s="1">
        <v>1772204</v>
      </c>
      <c r="AJ83" s="1">
        <v>2030152</v>
      </c>
    </row>
    <row r="84" spans="1:36" x14ac:dyDescent="0.3">
      <c r="A84" s="20" t="s">
        <v>181</v>
      </c>
      <c r="B84" s="1" t="s">
        <v>182</v>
      </c>
      <c r="C84" s="7" t="s">
        <v>167</v>
      </c>
      <c r="D84" s="7" t="s">
        <v>243</v>
      </c>
      <c r="E84" s="7" t="s">
        <v>381</v>
      </c>
      <c r="I84" s="47">
        <f>SUM(I79:I83)</f>
        <v>2799888</v>
      </c>
      <c r="AB84" s="47">
        <f>SUM(AB79:AB83)</f>
        <v>12364788</v>
      </c>
      <c r="AC84" s="47">
        <f t="shared" ref="AC84:AG84" si="6">SUM(AC79:AC83)</f>
        <v>12176704</v>
      </c>
      <c r="AD84" s="47">
        <f t="shared" si="6"/>
        <v>12329012</v>
      </c>
      <c r="AE84" s="47">
        <f t="shared" si="6"/>
        <v>12483075</v>
      </c>
      <c r="AF84" s="47">
        <f t="shared" si="6"/>
        <v>12266268</v>
      </c>
      <c r="AG84" s="47">
        <f t="shared" si="6"/>
        <v>12362398</v>
      </c>
      <c r="AH84" s="7">
        <f>SUM(AH79:AH83)</f>
        <v>3604397</v>
      </c>
      <c r="AI84" s="7">
        <f>SUM(AI79:AI83)</f>
        <v>3896749</v>
      </c>
      <c r="AJ84" s="7">
        <f>SUM(AJ79:AJ83)</f>
        <v>4190436</v>
      </c>
    </row>
    <row r="85" spans="1:36" x14ac:dyDescent="0.3">
      <c r="A85" s="20" t="s">
        <v>181</v>
      </c>
      <c r="B85" s="1" t="s">
        <v>182</v>
      </c>
      <c r="C85" s="1" t="s">
        <v>169</v>
      </c>
      <c r="D85" s="1" t="s">
        <v>452</v>
      </c>
      <c r="E85" s="1" t="s">
        <v>381</v>
      </c>
      <c r="I85" s="40"/>
      <c r="AB85" s="40"/>
      <c r="AC85" s="40"/>
      <c r="AD85" s="40"/>
      <c r="AE85" s="40"/>
      <c r="AF85" s="40">
        <v>148153</v>
      </c>
      <c r="AG85" s="1">
        <v>0</v>
      </c>
      <c r="AH85" s="1" t="s">
        <v>194</v>
      </c>
      <c r="AI85" s="1" t="s">
        <v>194</v>
      </c>
      <c r="AJ85" s="1" t="s">
        <v>194</v>
      </c>
    </row>
    <row r="86" spans="1:36" x14ac:dyDescent="0.3">
      <c r="A86" s="20" t="s">
        <v>181</v>
      </c>
      <c r="B86" s="1" t="s">
        <v>182</v>
      </c>
      <c r="C86" s="7" t="s">
        <v>168</v>
      </c>
      <c r="D86" s="7" t="s">
        <v>243</v>
      </c>
      <c r="E86" s="7" t="s">
        <v>381</v>
      </c>
      <c r="I86" s="47">
        <f>SUM(I84,I78)</f>
        <v>5849888</v>
      </c>
      <c r="AB86" s="47">
        <f>SUM(AB84,AB78)</f>
        <v>21747653</v>
      </c>
      <c r="AC86" s="47">
        <f t="shared" ref="AC86:AG86" si="7">SUM(AC84,AC78)</f>
        <v>21216484</v>
      </c>
      <c r="AD86" s="47">
        <f t="shared" si="7"/>
        <v>20508331</v>
      </c>
      <c r="AE86" s="47">
        <f t="shared" si="7"/>
        <v>19887841</v>
      </c>
      <c r="AF86" s="47">
        <f t="shared" si="7"/>
        <v>19021155</v>
      </c>
      <c r="AG86" s="7">
        <f>SUM(AG84,AG78)</f>
        <v>17755655</v>
      </c>
      <c r="AH86" s="7">
        <f>SUM(AH84,AH78)</f>
        <v>3947423</v>
      </c>
      <c r="AI86" s="7">
        <f>SUM(AI84,AI78)</f>
        <v>4102213</v>
      </c>
      <c r="AJ86" s="7">
        <f>SUM(AJ84,AJ78)</f>
        <v>4407849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H1" workbookViewId="0">
      <selection activeCell="O10" sqref="O10"/>
    </sheetView>
  </sheetViews>
  <sheetFormatPr defaultColWidth="8.77734375" defaultRowHeight="14.4" x14ac:dyDescent="0.3"/>
  <cols>
    <col min="1" max="1" width="10.109375" style="1" bestFit="1" customWidth="1"/>
    <col min="2" max="10" width="8.77734375" style="1"/>
    <col min="11" max="11" width="5.6640625" style="1" bestFit="1" customWidth="1"/>
    <col min="12" max="16384" width="8.77734375" style="1"/>
  </cols>
  <sheetData>
    <row r="1" spans="1:19" x14ac:dyDescent="0.3">
      <c r="A1" s="18" t="s">
        <v>0</v>
      </c>
      <c r="B1" s="18" t="s">
        <v>27</v>
      </c>
      <c r="C1" s="18" t="s">
        <v>2</v>
      </c>
      <c r="D1" s="18" t="s">
        <v>24</v>
      </c>
      <c r="E1" s="18" t="s">
        <v>88</v>
      </c>
      <c r="F1" s="18" t="s">
        <v>89</v>
      </c>
      <c r="G1" s="18" t="s">
        <v>90</v>
      </c>
      <c r="H1" s="18" t="s">
        <v>91</v>
      </c>
      <c r="I1" s="18" t="s">
        <v>4</v>
      </c>
      <c r="J1" s="18" t="s">
        <v>5</v>
      </c>
      <c r="K1" s="18" t="s">
        <v>92</v>
      </c>
      <c r="L1" s="18" t="s">
        <v>170</v>
      </c>
      <c r="M1" s="18" t="s">
        <v>171</v>
      </c>
      <c r="N1" s="18" t="s">
        <v>172</v>
      </c>
      <c r="O1" s="18" t="s">
        <v>174</v>
      </c>
      <c r="P1" s="18" t="s">
        <v>93</v>
      </c>
      <c r="Q1" s="18" t="s">
        <v>94</v>
      </c>
      <c r="R1" s="18" t="s">
        <v>95</v>
      </c>
      <c r="S1" s="18" t="s">
        <v>96</v>
      </c>
    </row>
    <row r="2" spans="1:19" x14ac:dyDescent="0.3">
      <c r="A2" s="64" t="s">
        <v>181</v>
      </c>
      <c r="B2" s="1" t="s">
        <v>182</v>
      </c>
      <c r="C2" s="1">
        <v>1994</v>
      </c>
      <c r="D2" s="1" t="s">
        <v>183</v>
      </c>
      <c r="E2" s="1" t="s">
        <v>184</v>
      </c>
      <c r="F2" s="1" t="s">
        <v>185</v>
      </c>
      <c r="H2" s="1">
        <v>3335000</v>
      </c>
      <c r="I2" s="1">
        <v>1994</v>
      </c>
      <c r="J2" s="1">
        <v>2009</v>
      </c>
      <c r="K2" s="1" t="s">
        <v>190</v>
      </c>
      <c r="L2" s="1">
        <v>110</v>
      </c>
      <c r="N2" s="1" t="s">
        <v>186</v>
      </c>
      <c r="O2" s="1" t="s">
        <v>187</v>
      </c>
      <c r="P2" s="1" t="s">
        <v>189</v>
      </c>
      <c r="Q2" s="1" t="s">
        <v>187</v>
      </c>
      <c r="R2" s="1" t="s">
        <v>188</v>
      </c>
    </row>
    <row r="3" spans="1:19" x14ac:dyDescent="0.3">
      <c r="A3" s="64" t="s">
        <v>181</v>
      </c>
      <c r="B3" s="1" t="s">
        <v>182</v>
      </c>
      <c r="C3" s="1">
        <v>2003</v>
      </c>
      <c r="D3" s="1" t="s">
        <v>183</v>
      </c>
      <c r="F3" s="1" t="s">
        <v>185</v>
      </c>
      <c r="H3" s="1">
        <v>6715000</v>
      </c>
      <c r="I3" s="1">
        <v>2003</v>
      </c>
      <c r="J3" s="1">
        <v>2023</v>
      </c>
      <c r="K3" s="1" t="s">
        <v>190</v>
      </c>
      <c r="L3" s="1">
        <v>110</v>
      </c>
      <c r="N3" s="1" t="s">
        <v>186</v>
      </c>
      <c r="O3" s="1" t="s">
        <v>187</v>
      </c>
      <c r="P3" s="1" t="s">
        <v>189</v>
      </c>
      <c r="Q3" s="1" t="s">
        <v>187</v>
      </c>
      <c r="R3" s="1" t="s">
        <v>191</v>
      </c>
    </row>
    <row r="4" spans="1:19" x14ac:dyDescent="0.3">
      <c r="A4" s="64" t="s">
        <v>181</v>
      </c>
      <c r="B4" s="1" t="s">
        <v>182</v>
      </c>
      <c r="C4" s="1">
        <v>2010</v>
      </c>
      <c r="D4" s="1" t="s">
        <v>183</v>
      </c>
      <c r="F4" s="1" t="s">
        <v>192</v>
      </c>
      <c r="H4" s="1">
        <v>8650000</v>
      </c>
      <c r="I4" s="1">
        <v>2010</v>
      </c>
      <c r="J4" s="1">
        <v>2030</v>
      </c>
      <c r="K4" s="1" t="s">
        <v>190</v>
      </c>
      <c r="L4" s="1">
        <v>110</v>
      </c>
      <c r="N4" s="1" t="s">
        <v>186</v>
      </c>
      <c r="O4" s="1" t="s">
        <v>187</v>
      </c>
      <c r="P4" s="1" t="s">
        <v>189</v>
      </c>
      <c r="Q4" s="1" t="s">
        <v>187</v>
      </c>
      <c r="R4" s="1" t="s">
        <v>194</v>
      </c>
    </row>
    <row r="5" spans="1:19" x14ac:dyDescent="0.3">
      <c r="A5" s="64" t="s">
        <v>181</v>
      </c>
      <c r="B5" s="1" t="s">
        <v>182</v>
      </c>
      <c r="C5" s="1">
        <v>2017</v>
      </c>
      <c r="D5" s="1" t="s">
        <v>183</v>
      </c>
      <c r="F5" s="1" t="s">
        <v>193</v>
      </c>
      <c r="H5" s="1">
        <v>8085000</v>
      </c>
      <c r="I5" s="1">
        <v>2017</v>
      </c>
      <c r="J5" s="1">
        <v>2031</v>
      </c>
      <c r="K5" s="1" t="s">
        <v>190</v>
      </c>
      <c r="L5" s="1">
        <v>110</v>
      </c>
      <c r="N5" s="1" t="s">
        <v>186</v>
      </c>
      <c r="O5" s="1" t="s">
        <v>187</v>
      </c>
      <c r="P5" s="1" t="s">
        <v>189</v>
      </c>
      <c r="Q5" s="1" t="s">
        <v>187</v>
      </c>
      <c r="R5" s="1" t="s">
        <v>195</v>
      </c>
    </row>
    <row r="6" spans="1:19" x14ac:dyDescent="0.3">
      <c r="A6" s="64" t="s">
        <v>181</v>
      </c>
      <c r="B6" s="1" t="s">
        <v>182</v>
      </c>
      <c r="C6" s="1">
        <v>1992</v>
      </c>
      <c r="D6" s="1" t="s">
        <v>381</v>
      </c>
      <c r="E6" s="1" t="s">
        <v>184</v>
      </c>
      <c r="F6" s="1" t="s">
        <v>185</v>
      </c>
      <c r="H6" s="1">
        <v>2885000</v>
      </c>
      <c r="I6" s="1">
        <v>1992</v>
      </c>
      <c r="J6" s="1">
        <v>2004</v>
      </c>
      <c r="K6" s="1" t="s">
        <v>190</v>
      </c>
      <c r="L6" s="1">
        <v>110</v>
      </c>
      <c r="N6" s="1" t="s">
        <v>186</v>
      </c>
      <c r="O6" s="1" t="s">
        <v>187</v>
      </c>
      <c r="P6" s="1" t="s">
        <v>189</v>
      </c>
      <c r="Q6" s="1" t="s">
        <v>575</v>
      </c>
      <c r="R6" s="1" t="s">
        <v>383</v>
      </c>
      <c r="S6" s="1" t="s">
        <v>576</v>
      </c>
    </row>
    <row r="7" spans="1:19" x14ac:dyDescent="0.3">
      <c r="A7" s="64" t="s">
        <v>181</v>
      </c>
      <c r="B7" s="1" t="s">
        <v>182</v>
      </c>
      <c r="C7" s="1">
        <v>2002</v>
      </c>
      <c r="D7" s="1" t="s">
        <v>381</v>
      </c>
      <c r="E7" s="1" t="s">
        <v>184</v>
      </c>
      <c r="F7" s="1" t="s">
        <v>185</v>
      </c>
      <c r="H7" s="1">
        <v>7975000</v>
      </c>
      <c r="I7" s="1">
        <v>2002</v>
      </c>
      <c r="J7" s="1">
        <v>2021</v>
      </c>
      <c r="K7" s="1" t="s">
        <v>190</v>
      </c>
      <c r="L7" s="1">
        <v>110</v>
      </c>
      <c r="N7" s="1" t="s">
        <v>186</v>
      </c>
      <c r="O7" s="1" t="s">
        <v>604</v>
      </c>
      <c r="P7" s="1" t="s">
        <v>189</v>
      </c>
      <c r="Q7" s="1" t="s">
        <v>575</v>
      </c>
      <c r="R7" s="1" t="s">
        <v>384</v>
      </c>
      <c r="S7" s="1" t="s">
        <v>586</v>
      </c>
    </row>
    <row r="8" spans="1:19" x14ac:dyDescent="0.3">
      <c r="A8" s="64" t="s">
        <v>181</v>
      </c>
      <c r="B8" s="1" t="s">
        <v>182</v>
      </c>
      <c r="C8" s="1">
        <v>2005</v>
      </c>
      <c r="D8" s="1" t="s">
        <v>381</v>
      </c>
      <c r="E8" s="1" t="s">
        <v>184</v>
      </c>
      <c r="F8" s="1" t="s">
        <v>185</v>
      </c>
      <c r="H8" s="1">
        <v>7830000</v>
      </c>
      <c r="I8" s="1">
        <v>2005</v>
      </c>
      <c r="J8" s="1">
        <v>2021</v>
      </c>
      <c r="K8" s="1" t="s">
        <v>190</v>
      </c>
      <c r="L8" s="1">
        <v>110</v>
      </c>
      <c r="N8" s="1" t="s">
        <v>186</v>
      </c>
      <c r="O8" s="1" t="s">
        <v>604</v>
      </c>
      <c r="P8" s="1" t="s">
        <v>189</v>
      </c>
      <c r="Q8" s="1" t="s">
        <v>575</v>
      </c>
      <c r="R8" s="1" t="s">
        <v>384</v>
      </c>
      <c r="S8" s="1" t="s">
        <v>586</v>
      </c>
    </row>
    <row r="9" spans="1:19" x14ac:dyDescent="0.3">
      <c r="A9" s="64" t="s">
        <v>181</v>
      </c>
      <c r="B9" s="1" t="s">
        <v>182</v>
      </c>
      <c r="C9" s="1">
        <v>2010</v>
      </c>
      <c r="D9" s="1" t="s">
        <v>381</v>
      </c>
      <c r="E9" s="1" t="s">
        <v>597</v>
      </c>
      <c r="F9" s="1" t="s">
        <v>193</v>
      </c>
      <c r="H9" s="1">
        <v>5735000</v>
      </c>
      <c r="I9" s="1">
        <v>2010</v>
      </c>
      <c r="J9" s="1">
        <v>2021</v>
      </c>
      <c r="K9" s="1" t="s">
        <v>190</v>
      </c>
      <c r="L9" s="1">
        <v>110</v>
      </c>
      <c r="N9" s="1" t="s">
        <v>186</v>
      </c>
      <c r="O9" s="1" t="s">
        <v>604</v>
      </c>
      <c r="P9" s="1" t="s">
        <v>189</v>
      </c>
      <c r="Q9" s="1" t="s">
        <v>575</v>
      </c>
      <c r="R9" s="1" t="s">
        <v>385</v>
      </c>
      <c r="S9" s="1" t="s">
        <v>586</v>
      </c>
    </row>
    <row r="10" spans="1:19" x14ac:dyDescent="0.3">
      <c r="A10" s="64" t="s">
        <v>181</v>
      </c>
      <c r="B10" s="1" t="s">
        <v>182</v>
      </c>
      <c r="C10" s="1">
        <v>2015</v>
      </c>
      <c r="D10" s="1" t="s">
        <v>381</v>
      </c>
      <c r="F10" s="1" t="s">
        <v>382</v>
      </c>
      <c r="H10" s="1">
        <v>2835000</v>
      </c>
      <c r="I10" s="1">
        <v>2015</v>
      </c>
      <c r="J10" s="1">
        <v>2020</v>
      </c>
      <c r="K10" s="1" t="s">
        <v>190</v>
      </c>
      <c r="L10" s="1">
        <v>110</v>
      </c>
      <c r="N10" s="1" t="s">
        <v>186</v>
      </c>
      <c r="O10" s="1" t="s">
        <v>604</v>
      </c>
      <c r="P10" s="1" t="s">
        <v>189</v>
      </c>
      <c r="Q10" s="1" t="s">
        <v>575</v>
      </c>
      <c r="R10" s="1" t="s">
        <v>385</v>
      </c>
      <c r="S10" s="1" t="s">
        <v>586</v>
      </c>
    </row>
  </sheetData>
  <phoneticPr fontId="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30" sqref="G30"/>
    </sheetView>
  </sheetViews>
  <sheetFormatPr defaultColWidth="8.77734375" defaultRowHeight="14.4" x14ac:dyDescent="0.3"/>
  <cols>
    <col min="1" max="5" width="8.77734375" style="1"/>
    <col min="6" max="6" width="12.6640625" style="1" bestFit="1" customWidth="1"/>
    <col min="7" max="7" width="10.44140625" style="1" bestFit="1" customWidth="1"/>
    <col min="8" max="16384" width="8.77734375" style="1"/>
  </cols>
  <sheetData>
    <row r="1" spans="1:9" x14ac:dyDescent="0.3">
      <c r="A1" s="2" t="s">
        <v>0</v>
      </c>
      <c r="B1" s="2" t="s">
        <v>27</v>
      </c>
      <c r="C1" s="2" t="s">
        <v>2</v>
      </c>
      <c r="D1" s="2" t="s">
        <v>24</v>
      </c>
      <c r="E1" s="8" t="s">
        <v>110</v>
      </c>
      <c r="F1" s="5" t="s">
        <v>32</v>
      </c>
      <c r="G1" s="9" t="s">
        <v>156</v>
      </c>
      <c r="H1" s="2" t="s">
        <v>157</v>
      </c>
      <c r="I1" s="4" t="s">
        <v>96</v>
      </c>
    </row>
    <row r="2" spans="1:9" x14ac:dyDescent="0.3">
      <c r="A2" s="64" t="s">
        <v>181</v>
      </c>
      <c r="B2" s="1" t="s">
        <v>182</v>
      </c>
      <c r="C2" s="1">
        <v>2010</v>
      </c>
      <c r="D2" s="1" t="s">
        <v>183</v>
      </c>
      <c r="E2" s="1">
        <v>2008</v>
      </c>
      <c r="F2" s="40">
        <v>1723279</v>
      </c>
      <c r="G2" s="40">
        <f>F2-1731850</f>
        <v>-8571</v>
      </c>
      <c r="H2" s="1">
        <v>100.5</v>
      </c>
    </row>
    <row r="3" spans="1:9" x14ac:dyDescent="0.3">
      <c r="A3" s="64" t="s">
        <v>181</v>
      </c>
      <c r="B3" s="1" t="s">
        <v>182</v>
      </c>
      <c r="C3" s="1">
        <v>2010</v>
      </c>
      <c r="D3" s="1" t="s">
        <v>183</v>
      </c>
      <c r="E3" s="1">
        <v>2009</v>
      </c>
      <c r="F3" s="40">
        <v>1654952</v>
      </c>
      <c r="G3" s="40">
        <f>F3-1645124</f>
        <v>9828</v>
      </c>
      <c r="H3" s="1">
        <v>99.4</v>
      </c>
    </row>
    <row r="4" spans="1:9" x14ac:dyDescent="0.3">
      <c r="A4" s="64" t="s">
        <v>181</v>
      </c>
      <c r="B4" s="1" t="s">
        <v>182</v>
      </c>
      <c r="C4" s="1">
        <v>2017</v>
      </c>
      <c r="D4" s="1" t="s">
        <v>183</v>
      </c>
      <c r="E4" s="1">
        <v>2012</v>
      </c>
      <c r="F4" s="55">
        <v>2020330</v>
      </c>
      <c r="G4" s="55">
        <v>2020330</v>
      </c>
      <c r="H4" s="1">
        <v>100</v>
      </c>
    </row>
    <row r="5" spans="1:9" x14ac:dyDescent="0.3">
      <c r="A5" s="64" t="s">
        <v>181</v>
      </c>
      <c r="B5" s="1" t="s">
        <v>182</v>
      </c>
      <c r="C5" s="1">
        <v>2017</v>
      </c>
      <c r="D5" s="1" t="s">
        <v>183</v>
      </c>
      <c r="E5" s="1">
        <v>2013</v>
      </c>
      <c r="F5" s="55">
        <v>2112851</v>
      </c>
      <c r="G5" s="55">
        <v>2112851</v>
      </c>
      <c r="H5" s="1">
        <v>100</v>
      </c>
    </row>
    <row r="6" spans="1:9" x14ac:dyDescent="0.3">
      <c r="A6" s="64" t="s">
        <v>181</v>
      </c>
      <c r="B6" s="1" t="s">
        <v>182</v>
      </c>
      <c r="C6" s="1">
        <v>2017</v>
      </c>
      <c r="D6" s="1" t="s">
        <v>183</v>
      </c>
      <c r="E6" s="1">
        <v>2014</v>
      </c>
      <c r="F6" s="55">
        <v>2127218</v>
      </c>
      <c r="G6" s="55">
        <v>2127218</v>
      </c>
      <c r="H6" s="1">
        <v>100</v>
      </c>
    </row>
    <row r="7" spans="1:9" x14ac:dyDescent="0.3">
      <c r="A7" s="64" t="s">
        <v>181</v>
      </c>
      <c r="B7" s="1" t="s">
        <v>182</v>
      </c>
      <c r="C7" s="1">
        <v>2017</v>
      </c>
      <c r="D7" s="1" t="s">
        <v>183</v>
      </c>
      <c r="E7" s="1">
        <v>2015</v>
      </c>
      <c r="F7" s="55">
        <v>2666687</v>
      </c>
      <c r="G7" s="55">
        <v>2666687</v>
      </c>
      <c r="H7" s="1">
        <v>100</v>
      </c>
    </row>
    <row r="8" spans="1:9" x14ac:dyDescent="0.3">
      <c r="A8" s="64" t="s">
        <v>181</v>
      </c>
      <c r="B8" s="1" t="s">
        <v>182</v>
      </c>
      <c r="C8" s="1">
        <v>2017</v>
      </c>
      <c r="D8" s="1" t="s">
        <v>183</v>
      </c>
      <c r="E8" s="1">
        <v>2016</v>
      </c>
      <c r="F8" s="55">
        <v>2706166</v>
      </c>
      <c r="G8" s="55">
        <v>2706166</v>
      </c>
      <c r="H8" s="1">
        <v>100</v>
      </c>
    </row>
    <row r="9" spans="1:9" x14ac:dyDescent="0.3">
      <c r="A9" s="64" t="s">
        <v>181</v>
      </c>
      <c r="B9" s="1" t="s">
        <v>182</v>
      </c>
      <c r="C9" s="1">
        <v>2002</v>
      </c>
      <c r="D9" s="1" t="s">
        <v>381</v>
      </c>
      <c r="E9" s="1">
        <v>1996</v>
      </c>
      <c r="F9" s="1">
        <v>1320319</v>
      </c>
      <c r="G9" s="1">
        <f>F9-1273661</f>
        <v>46658</v>
      </c>
      <c r="H9" s="1">
        <v>97.9</v>
      </c>
    </row>
    <row r="10" spans="1:9" x14ac:dyDescent="0.3">
      <c r="A10" s="64" t="s">
        <v>181</v>
      </c>
      <c r="B10" s="1" t="s">
        <v>182</v>
      </c>
      <c r="C10" s="1">
        <v>2002</v>
      </c>
      <c r="D10" s="1" t="s">
        <v>381</v>
      </c>
      <c r="E10" s="1">
        <v>1997</v>
      </c>
      <c r="F10" s="1">
        <v>1486239</v>
      </c>
      <c r="G10" s="1">
        <f>F10-1425283</f>
        <v>60956</v>
      </c>
      <c r="H10" s="1">
        <v>95.9</v>
      </c>
    </row>
    <row r="11" spans="1:9" x14ac:dyDescent="0.3">
      <c r="A11" s="64" t="s">
        <v>181</v>
      </c>
      <c r="B11" s="1" t="s">
        <v>182</v>
      </c>
      <c r="C11" s="1">
        <v>2002</v>
      </c>
      <c r="D11" s="1" t="s">
        <v>381</v>
      </c>
      <c r="E11" s="1">
        <v>1998</v>
      </c>
      <c r="F11" s="1">
        <v>1427586</v>
      </c>
      <c r="G11" s="1">
        <f>F11-1351774</f>
        <v>75812</v>
      </c>
      <c r="H11" s="1">
        <v>94.6</v>
      </c>
    </row>
    <row r="12" spans="1:9" x14ac:dyDescent="0.3">
      <c r="A12" s="64" t="s">
        <v>181</v>
      </c>
      <c r="B12" s="1" t="s">
        <v>182</v>
      </c>
      <c r="C12" s="1">
        <v>2002</v>
      </c>
      <c r="D12" s="1" t="s">
        <v>381</v>
      </c>
      <c r="E12" s="1">
        <v>1999</v>
      </c>
      <c r="F12" s="1">
        <v>1348373</v>
      </c>
      <c r="G12" s="1">
        <f>F12-1338617</f>
        <v>9756</v>
      </c>
      <c r="H12" s="1">
        <v>99.3</v>
      </c>
    </row>
    <row r="13" spans="1:9" x14ac:dyDescent="0.3">
      <c r="A13" s="64" t="s">
        <v>181</v>
      </c>
      <c r="B13" s="1" t="s">
        <v>182</v>
      </c>
      <c r="C13" s="1">
        <v>2002</v>
      </c>
      <c r="D13" s="1" t="s">
        <v>381</v>
      </c>
      <c r="E13" s="1">
        <v>2000</v>
      </c>
      <c r="F13" s="1">
        <v>1342454</v>
      </c>
      <c r="G13" s="1">
        <f>F13-1332687</f>
        <v>9767</v>
      </c>
      <c r="H13" s="1">
        <v>99.2</v>
      </c>
    </row>
    <row r="14" spans="1:9" x14ac:dyDescent="0.3">
      <c r="A14" s="64" t="s">
        <v>181</v>
      </c>
      <c r="B14" s="1" t="s">
        <v>182</v>
      </c>
      <c r="C14" s="1">
        <v>2005</v>
      </c>
      <c r="D14" s="1" t="s">
        <v>381</v>
      </c>
      <c r="E14" s="1">
        <v>1999</v>
      </c>
      <c r="F14" s="1">
        <v>1348373</v>
      </c>
      <c r="G14" s="1">
        <f>F14-1338617</f>
        <v>9756</v>
      </c>
      <c r="H14" s="1">
        <v>99</v>
      </c>
    </row>
    <row r="15" spans="1:9" x14ac:dyDescent="0.3">
      <c r="A15" s="64" t="s">
        <v>181</v>
      </c>
      <c r="B15" s="1" t="s">
        <v>182</v>
      </c>
      <c r="C15" s="1">
        <v>2005</v>
      </c>
      <c r="D15" s="1" t="s">
        <v>381</v>
      </c>
      <c r="E15" s="1">
        <v>2000</v>
      </c>
      <c r="F15" s="1">
        <v>1342454</v>
      </c>
      <c r="G15" s="1">
        <f>F15-1332687</f>
        <v>9767</v>
      </c>
      <c r="H15" s="1">
        <v>99</v>
      </c>
    </row>
    <row r="16" spans="1:9" x14ac:dyDescent="0.3">
      <c r="A16" s="64" t="s">
        <v>181</v>
      </c>
      <c r="B16" s="1" t="s">
        <v>182</v>
      </c>
      <c r="C16" s="1">
        <v>2005</v>
      </c>
      <c r="D16" s="1" t="s">
        <v>381</v>
      </c>
      <c r="E16" s="1">
        <v>2001</v>
      </c>
      <c r="F16" s="1">
        <v>1140394</v>
      </c>
      <c r="G16" s="1">
        <f>F16-1093408</f>
        <v>46986</v>
      </c>
      <c r="H16" s="1">
        <v>96</v>
      </c>
    </row>
    <row r="17" spans="1:8" x14ac:dyDescent="0.3">
      <c r="A17" s="64" t="s">
        <v>181</v>
      </c>
      <c r="B17" s="1" t="s">
        <v>182</v>
      </c>
      <c r="C17" s="1">
        <v>2005</v>
      </c>
      <c r="D17" s="1" t="s">
        <v>381</v>
      </c>
      <c r="E17" s="1">
        <v>2002</v>
      </c>
      <c r="F17" s="1">
        <v>1251535</v>
      </c>
      <c r="G17" s="1">
        <f>F17-1236468</f>
        <v>15067</v>
      </c>
      <c r="H17" s="1">
        <v>99</v>
      </c>
    </row>
    <row r="18" spans="1:8" x14ac:dyDescent="0.3">
      <c r="A18" s="64" t="s">
        <v>181</v>
      </c>
      <c r="B18" s="1" t="s">
        <v>182</v>
      </c>
      <c r="C18" s="1">
        <v>2005</v>
      </c>
      <c r="D18" s="1" t="s">
        <v>381</v>
      </c>
      <c r="E18" s="1">
        <v>2003</v>
      </c>
      <c r="F18" s="1">
        <v>2144431</v>
      </c>
      <c r="G18" s="1">
        <f>F18-2028586</f>
        <v>115845</v>
      </c>
      <c r="H18" s="1">
        <v>95</v>
      </c>
    </row>
    <row r="19" spans="1:8" x14ac:dyDescent="0.3">
      <c r="A19" s="64" t="s">
        <v>181</v>
      </c>
      <c r="B19" s="1" t="s">
        <v>182</v>
      </c>
      <c r="C19" s="1">
        <v>2005</v>
      </c>
      <c r="D19" s="1" t="s">
        <v>381</v>
      </c>
      <c r="E19" s="1">
        <v>2004</v>
      </c>
      <c r="F19" s="1">
        <v>2270039</v>
      </c>
      <c r="G19" s="1">
        <f>F19-2243999</f>
        <v>26040</v>
      </c>
      <c r="H19" s="1">
        <v>99</v>
      </c>
    </row>
    <row r="20" spans="1:8" x14ac:dyDescent="0.3">
      <c r="A20" s="64" t="s">
        <v>181</v>
      </c>
      <c r="B20" s="1" t="s">
        <v>182</v>
      </c>
      <c r="C20" s="1">
        <v>2010</v>
      </c>
      <c r="D20" s="1" t="s">
        <v>381</v>
      </c>
      <c r="E20" s="1">
        <v>2005</v>
      </c>
      <c r="F20" s="1">
        <v>2524424</v>
      </c>
      <c r="G20" s="23">
        <f>F20-2476062</f>
        <v>48362</v>
      </c>
      <c r="H20" s="1">
        <v>98.1</v>
      </c>
    </row>
    <row r="21" spans="1:8" x14ac:dyDescent="0.3">
      <c r="A21" s="64" t="s">
        <v>181</v>
      </c>
      <c r="B21" s="1" t="s">
        <v>182</v>
      </c>
      <c r="C21" s="1">
        <v>2010</v>
      </c>
      <c r="D21" s="1" t="s">
        <v>381</v>
      </c>
      <c r="E21" s="1">
        <v>2006</v>
      </c>
      <c r="F21" s="1">
        <v>2496382</v>
      </c>
      <c r="G21" s="23">
        <f>F21-2501585</f>
        <v>-5203</v>
      </c>
      <c r="H21" s="1">
        <v>100.2</v>
      </c>
    </row>
    <row r="22" spans="1:8" x14ac:dyDescent="0.3">
      <c r="A22" s="64" t="s">
        <v>181</v>
      </c>
      <c r="B22" s="1" t="s">
        <v>182</v>
      </c>
      <c r="C22" s="1">
        <v>2010</v>
      </c>
      <c r="D22" s="1" t="s">
        <v>381</v>
      </c>
      <c r="E22" s="1">
        <v>2007</v>
      </c>
      <c r="F22" s="1">
        <v>2519203</v>
      </c>
      <c r="G22" s="23">
        <f>F22-2516873</f>
        <v>2330</v>
      </c>
      <c r="H22" s="1">
        <v>99.9</v>
      </c>
    </row>
    <row r="23" spans="1:8" x14ac:dyDescent="0.3">
      <c r="A23" s="64" t="s">
        <v>181</v>
      </c>
      <c r="B23" s="1" t="s">
        <v>182</v>
      </c>
      <c r="C23" s="1">
        <v>2010</v>
      </c>
      <c r="D23" s="1" t="s">
        <v>381</v>
      </c>
      <c r="E23" s="1">
        <v>2008</v>
      </c>
      <c r="F23" s="1">
        <v>2550490</v>
      </c>
      <c r="G23" s="23">
        <f>F23-2545457</f>
        <v>5033</v>
      </c>
      <c r="H23" s="1">
        <v>99.8</v>
      </c>
    </row>
    <row r="24" spans="1:8" x14ac:dyDescent="0.3">
      <c r="A24" s="64" t="s">
        <v>181</v>
      </c>
      <c r="B24" s="1" t="s">
        <v>182</v>
      </c>
      <c r="C24" s="1">
        <v>2010</v>
      </c>
      <c r="D24" s="1" t="s">
        <v>381</v>
      </c>
      <c r="E24" s="1">
        <v>2009</v>
      </c>
      <c r="F24" s="1">
        <v>2375864</v>
      </c>
      <c r="G24" s="23">
        <f>F24-2366889</f>
        <v>8975</v>
      </c>
      <c r="H24" s="1">
        <v>99.6</v>
      </c>
    </row>
    <row r="25" spans="1:8" x14ac:dyDescent="0.3">
      <c r="A25" s="64" t="s">
        <v>181</v>
      </c>
      <c r="B25" s="1" t="s">
        <v>182</v>
      </c>
      <c r="C25" s="1">
        <v>2015</v>
      </c>
      <c r="D25" s="1" t="s">
        <v>381</v>
      </c>
      <c r="E25" s="1">
        <v>2010</v>
      </c>
      <c r="F25" s="1">
        <v>2650257</v>
      </c>
      <c r="G25" s="23">
        <v>11808</v>
      </c>
      <c r="H25" s="1">
        <v>99.550000000000011</v>
      </c>
    </row>
    <row r="26" spans="1:8" x14ac:dyDescent="0.3">
      <c r="A26" s="64" t="s">
        <v>181</v>
      </c>
      <c r="B26" s="1" t="s">
        <v>182</v>
      </c>
      <c r="C26" s="1">
        <v>2015</v>
      </c>
      <c r="D26" s="1" t="s">
        <v>381</v>
      </c>
      <c r="E26" s="1">
        <v>2011</v>
      </c>
      <c r="F26" s="1">
        <v>2629785</v>
      </c>
      <c r="G26" s="23">
        <v>-3468</v>
      </c>
      <c r="H26" s="1">
        <v>100.13000000000001</v>
      </c>
    </row>
    <row r="27" spans="1:8" x14ac:dyDescent="0.3">
      <c r="A27" s="64" t="s">
        <v>181</v>
      </c>
      <c r="B27" s="1" t="s">
        <v>182</v>
      </c>
      <c r="C27" s="1">
        <v>2015</v>
      </c>
      <c r="D27" s="1" t="s">
        <v>381</v>
      </c>
      <c r="E27" s="1">
        <v>2012</v>
      </c>
      <c r="F27" s="1">
        <v>2547182</v>
      </c>
      <c r="G27" s="23">
        <v>-24345</v>
      </c>
      <c r="H27" s="1">
        <v>100.96000000000001</v>
      </c>
    </row>
    <row r="28" spans="1:8" x14ac:dyDescent="0.3">
      <c r="A28" s="64" t="s">
        <v>181</v>
      </c>
      <c r="B28" s="1" t="s">
        <v>182</v>
      </c>
      <c r="C28" s="1">
        <v>2015</v>
      </c>
      <c r="D28" s="1" t="s">
        <v>381</v>
      </c>
      <c r="E28" s="1">
        <v>2013</v>
      </c>
      <c r="F28" s="1">
        <v>2466786</v>
      </c>
      <c r="G28" s="23">
        <v>12288</v>
      </c>
      <c r="H28" s="1">
        <v>99.5</v>
      </c>
    </row>
    <row r="29" spans="1:8" x14ac:dyDescent="0.3">
      <c r="A29" s="64" t="s">
        <v>181</v>
      </c>
      <c r="B29" s="1" t="s">
        <v>182</v>
      </c>
      <c r="C29" s="1">
        <v>2015</v>
      </c>
      <c r="D29" s="1" t="s">
        <v>381</v>
      </c>
      <c r="E29" s="1">
        <v>2014</v>
      </c>
      <c r="F29" s="1">
        <v>2754046</v>
      </c>
      <c r="G29" s="23">
        <v>19619</v>
      </c>
      <c r="H29" s="1">
        <v>99.29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opLeftCell="C107" workbookViewId="0">
      <selection activeCell="N146" sqref="N146"/>
    </sheetView>
  </sheetViews>
  <sheetFormatPr defaultColWidth="8.77734375" defaultRowHeight="14.4" x14ac:dyDescent="0.3"/>
  <cols>
    <col min="1" max="1" width="10.109375" style="1" bestFit="1" customWidth="1"/>
    <col min="2" max="5" width="8.77734375" style="1"/>
    <col min="6" max="6" width="15.6640625" style="1" bestFit="1" customWidth="1"/>
    <col min="7" max="18" width="8.77734375" style="1"/>
    <col min="19" max="19" width="10" style="1" bestFit="1" customWidth="1"/>
    <col min="20" max="16384" width="8.77734375" style="1"/>
  </cols>
  <sheetData>
    <row r="1" spans="1:14" x14ac:dyDescent="0.3">
      <c r="A1" s="2" t="s">
        <v>0</v>
      </c>
      <c r="B1" s="2" t="s">
        <v>27</v>
      </c>
      <c r="C1" s="2" t="s">
        <v>2</v>
      </c>
      <c r="D1" s="2" t="s">
        <v>24</v>
      </c>
      <c r="E1" s="2" t="s">
        <v>97</v>
      </c>
      <c r="F1" s="2" t="s">
        <v>98</v>
      </c>
      <c r="G1" s="2" t="s">
        <v>99</v>
      </c>
      <c r="H1" s="2" t="s">
        <v>100</v>
      </c>
      <c r="I1" s="5" t="s">
        <v>101</v>
      </c>
      <c r="J1" s="2" t="s">
        <v>102</v>
      </c>
      <c r="K1" s="2" t="s">
        <v>103</v>
      </c>
      <c r="L1" s="2" t="s">
        <v>104</v>
      </c>
      <c r="M1" s="2" t="s">
        <v>105</v>
      </c>
      <c r="N1" s="2" t="s">
        <v>106</v>
      </c>
    </row>
    <row r="2" spans="1:14" x14ac:dyDescent="0.3">
      <c r="A2" s="20" t="s">
        <v>181</v>
      </c>
      <c r="B2" s="1" t="s">
        <v>182</v>
      </c>
      <c r="C2" s="1">
        <v>1994</v>
      </c>
      <c r="D2" s="1" t="s">
        <v>183</v>
      </c>
      <c r="E2" s="1" t="s">
        <v>190</v>
      </c>
      <c r="F2" s="1" t="s">
        <v>196</v>
      </c>
      <c r="G2" s="1">
        <v>1995</v>
      </c>
      <c r="H2" s="1" t="s">
        <v>197</v>
      </c>
      <c r="I2" s="1">
        <v>50000</v>
      </c>
      <c r="J2" s="1">
        <v>2.9</v>
      </c>
      <c r="K2" s="1">
        <f>3335000-I2</f>
        <v>3285000</v>
      </c>
      <c r="L2" s="26">
        <v>144475</v>
      </c>
      <c r="M2" s="1">
        <v>2.9</v>
      </c>
      <c r="N2" s="1">
        <v>100</v>
      </c>
    </row>
    <row r="3" spans="1:14" x14ac:dyDescent="0.3">
      <c r="A3" s="20" t="s">
        <v>181</v>
      </c>
      <c r="B3" s="1" t="s">
        <v>182</v>
      </c>
      <c r="C3" s="1">
        <v>1994</v>
      </c>
      <c r="D3" s="1" t="s">
        <v>183</v>
      </c>
      <c r="E3" s="1" t="s">
        <v>190</v>
      </c>
      <c r="F3" s="1" t="s">
        <v>196</v>
      </c>
      <c r="G3" s="1">
        <v>1996</v>
      </c>
      <c r="H3" s="1" t="s">
        <v>197</v>
      </c>
      <c r="I3" s="1">
        <v>180000</v>
      </c>
      <c r="J3" s="1">
        <v>3.15</v>
      </c>
      <c r="K3" s="1">
        <f>K2-I3</f>
        <v>3105000</v>
      </c>
      <c r="L3" s="26">
        <v>143025</v>
      </c>
      <c r="M3" s="1">
        <v>3.15</v>
      </c>
      <c r="N3" s="1">
        <v>100</v>
      </c>
    </row>
    <row r="4" spans="1:14" x14ac:dyDescent="0.3">
      <c r="A4" s="20" t="s">
        <v>181</v>
      </c>
      <c r="B4" s="1" t="s">
        <v>182</v>
      </c>
      <c r="C4" s="1">
        <v>1994</v>
      </c>
      <c r="D4" s="1" t="s">
        <v>183</v>
      </c>
      <c r="E4" s="1" t="s">
        <v>190</v>
      </c>
      <c r="F4" s="1" t="s">
        <v>196</v>
      </c>
      <c r="G4" s="1">
        <v>1997</v>
      </c>
      <c r="H4" s="1" t="s">
        <v>197</v>
      </c>
      <c r="I4" s="1">
        <v>185000</v>
      </c>
      <c r="J4" s="1">
        <v>3.4</v>
      </c>
      <c r="K4" s="1">
        <f t="shared" ref="K4:K16" si="0">K3-I4</f>
        <v>2920000</v>
      </c>
      <c r="L4" s="26">
        <v>137355</v>
      </c>
      <c r="M4" s="1">
        <v>3.4</v>
      </c>
      <c r="N4" s="1">
        <v>100</v>
      </c>
    </row>
    <row r="5" spans="1:14" x14ac:dyDescent="0.3">
      <c r="A5" s="20" t="s">
        <v>181</v>
      </c>
      <c r="B5" s="1" t="s">
        <v>182</v>
      </c>
      <c r="C5" s="1">
        <v>1994</v>
      </c>
      <c r="D5" s="1" t="s">
        <v>183</v>
      </c>
      <c r="E5" s="1" t="s">
        <v>190</v>
      </c>
      <c r="F5" s="1" t="s">
        <v>196</v>
      </c>
      <c r="G5" s="1">
        <v>1998</v>
      </c>
      <c r="H5" s="1" t="s">
        <v>197</v>
      </c>
      <c r="I5" s="1">
        <v>195000</v>
      </c>
      <c r="J5" s="1">
        <v>3.6</v>
      </c>
      <c r="K5" s="1">
        <f t="shared" si="0"/>
        <v>2725000</v>
      </c>
      <c r="L5" s="26">
        <v>131065</v>
      </c>
      <c r="M5" s="1">
        <v>3.6</v>
      </c>
      <c r="N5" s="1">
        <v>100</v>
      </c>
    </row>
    <row r="6" spans="1:14" x14ac:dyDescent="0.3">
      <c r="A6" s="20" t="s">
        <v>181</v>
      </c>
      <c r="B6" s="1" t="s">
        <v>182</v>
      </c>
      <c r="C6" s="1">
        <v>1994</v>
      </c>
      <c r="D6" s="1" t="s">
        <v>183</v>
      </c>
      <c r="E6" s="1" t="s">
        <v>190</v>
      </c>
      <c r="F6" s="1" t="s">
        <v>196</v>
      </c>
      <c r="G6" s="1">
        <v>1999</v>
      </c>
      <c r="H6" s="1" t="s">
        <v>197</v>
      </c>
      <c r="I6" s="1">
        <v>200000</v>
      </c>
      <c r="J6" s="1">
        <v>3.8</v>
      </c>
      <c r="K6" s="1">
        <f t="shared" si="0"/>
        <v>2525000</v>
      </c>
      <c r="L6" s="26">
        <v>124045</v>
      </c>
      <c r="M6" s="1">
        <v>3.8</v>
      </c>
      <c r="N6" s="1">
        <v>100</v>
      </c>
    </row>
    <row r="7" spans="1:14" x14ac:dyDescent="0.3">
      <c r="A7" s="20" t="s">
        <v>181</v>
      </c>
      <c r="B7" s="1" t="s">
        <v>182</v>
      </c>
      <c r="C7" s="1">
        <v>1994</v>
      </c>
      <c r="D7" s="1" t="s">
        <v>183</v>
      </c>
      <c r="E7" s="1" t="s">
        <v>190</v>
      </c>
      <c r="F7" s="1" t="s">
        <v>196</v>
      </c>
      <c r="G7" s="1">
        <v>2000</v>
      </c>
      <c r="H7" s="1" t="s">
        <v>197</v>
      </c>
      <c r="I7" s="1">
        <v>210000</v>
      </c>
      <c r="J7" s="1">
        <v>4</v>
      </c>
      <c r="K7" s="1">
        <f t="shared" si="0"/>
        <v>2315000</v>
      </c>
      <c r="L7" s="26">
        <v>116445</v>
      </c>
      <c r="M7" s="1">
        <v>4</v>
      </c>
      <c r="N7" s="1">
        <v>100</v>
      </c>
    </row>
    <row r="8" spans="1:14" x14ac:dyDescent="0.3">
      <c r="A8" s="20" t="s">
        <v>181</v>
      </c>
      <c r="B8" s="1" t="s">
        <v>182</v>
      </c>
      <c r="C8" s="1">
        <v>1994</v>
      </c>
      <c r="D8" s="1" t="s">
        <v>183</v>
      </c>
      <c r="E8" s="1" t="s">
        <v>190</v>
      </c>
      <c r="F8" s="1" t="s">
        <v>196</v>
      </c>
      <c r="G8" s="1">
        <v>2001</v>
      </c>
      <c r="H8" s="1" t="s">
        <v>197</v>
      </c>
      <c r="I8" s="1">
        <v>215000</v>
      </c>
      <c r="J8" s="1">
        <v>4.1500000000000004</v>
      </c>
      <c r="K8" s="1">
        <f t="shared" si="0"/>
        <v>2100000</v>
      </c>
      <c r="L8" s="26">
        <v>108045</v>
      </c>
      <c r="M8" s="1">
        <v>4.1500000000000004</v>
      </c>
      <c r="N8" s="1">
        <v>100</v>
      </c>
    </row>
    <row r="9" spans="1:14" x14ac:dyDescent="0.3">
      <c r="A9" s="20" t="s">
        <v>181</v>
      </c>
      <c r="B9" s="1" t="s">
        <v>182</v>
      </c>
      <c r="C9" s="1">
        <v>1994</v>
      </c>
      <c r="D9" s="1" t="s">
        <v>183</v>
      </c>
      <c r="E9" s="1" t="s">
        <v>190</v>
      </c>
      <c r="F9" s="1" t="s">
        <v>196</v>
      </c>
      <c r="G9" s="1">
        <v>2002</v>
      </c>
      <c r="H9" s="1" t="s">
        <v>197</v>
      </c>
      <c r="I9" s="1">
        <v>225000</v>
      </c>
      <c r="J9" s="1">
        <v>4.3</v>
      </c>
      <c r="K9" s="1">
        <f t="shared" si="0"/>
        <v>1875000</v>
      </c>
      <c r="L9" s="26">
        <v>99123</v>
      </c>
      <c r="M9" s="1">
        <v>4.3</v>
      </c>
      <c r="N9" s="1">
        <v>100</v>
      </c>
    </row>
    <row r="10" spans="1:14" x14ac:dyDescent="0.3">
      <c r="A10" s="20" t="s">
        <v>181</v>
      </c>
      <c r="B10" s="1" t="s">
        <v>182</v>
      </c>
      <c r="C10" s="1">
        <v>1994</v>
      </c>
      <c r="D10" s="1" t="s">
        <v>183</v>
      </c>
      <c r="E10" s="1" t="s">
        <v>190</v>
      </c>
      <c r="F10" s="1" t="s">
        <v>196</v>
      </c>
      <c r="G10" s="1">
        <v>2003</v>
      </c>
      <c r="H10" s="1" t="s">
        <v>197</v>
      </c>
      <c r="I10" s="1">
        <v>235000</v>
      </c>
      <c r="J10" s="1">
        <v>4.4000000000000004</v>
      </c>
      <c r="K10" s="1">
        <f t="shared" si="0"/>
        <v>1640000</v>
      </c>
      <c r="L10" s="26">
        <v>89447</v>
      </c>
      <c r="M10" s="1">
        <v>4.4000000000000004</v>
      </c>
      <c r="N10" s="1">
        <v>100</v>
      </c>
    </row>
    <row r="11" spans="1:14" x14ac:dyDescent="0.3">
      <c r="A11" s="20" t="s">
        <v>181</v>
      </c>
      <c r="B11" s="1" t="s">
        <v>182</v>
      </c>
      <c r="C11" s="1">
        <v>1994</v>
      </c>
      <c r="D11" s="1" t="s">
        <v>183</v>
      </c>
      <c r="E11" s="1" t="s">
        <v>190</v>
      </c>
      <c r="F11" s="1" t="s">
        <v>196</v>
      </c>
      <c r="G11" s="1">
        <v>2004</v>
      </c>
      <c r="H11" s="1" t="s">
        <v>197</v>
      </c>
      <c r="I11" s="1">
        <v>245000</v>
      </c>
      <c r="J11" s="1">
        <v>4.5</v>
      </c>
      <c r="K11" s="1">
        <f t="shared" si="0"/>
        <v>1395000</v>
      </c>
      <c r="L11" s="26">
        <v>79108</v>
      </c>
      <c r="M11" s="1">
        <v>4.5999999999999996</v>
      </c>
      <c r="N11" s="1">
        <v>99.206000000000003</v>
      </c>
    </row>
    <row r="12" spans="1:14" x14ac:dyDescent="0.3">
      <c r="A12" s="20" t="s">
        <v>181</v>
      </c>
      <c r="B12" s="1" t="s">
        <v>182</v>
      </c>
      <c r="C12" s="1">
        <v>1994</v>
      </c>
      <c r="D12" s="1" t="s">
        <v>183</v>
      </c>
      <c r="E12" s="1" t="s">
        <v>190</v>
      </c>
      <c r="F12" s="1" t="s">
        <v>196</v>
      </c>
      <c r="G12" s="1">
        <v>2005</v>
      </c>
      <c r="H12" s="1" t="s">
        <v>197</v>
      </c>
      <c r="I12" s="1">
        <v>255000</v>
      </c>
      <c r="J12" s="1">
        <v>4.6500000000000004</v>
      </c>
      <c r="K12" s="1">
        <f t="shared" si="0"/>
        <v>1140000</v>
      </c>
      <c r="L12" s="26">
        <v>68082</v>
      </c>
      <c r="M12" s="1">
        <v>4.75</v>
      </c>
      <c r="N12" s="1">
        <v>99.150999999999996</v>
      </c>
    </row>
    <row r="13" spans="1:14" x14ac:dyDescent="0.3">
      <c r="A13" s="20" t="s">
        <v>181</v>
      </c>
      <c r="B13" s="1" t="s">
        <v>182</v>
      </c>
      <c r="C13" s="1">
        <v>1994</v>
      </c>
      <c r="D13" s="1" t="s">
        <v>183</v>
      </c>
      <c r="E13" s="1" t="s">
        <v>190</v>
      </c>
      <c r="F13" s="1" t="s">
        <v>196</v>
      </c>
      <c r="G13" s="1">
        <v>2006</v>
      </c>
      <c r="H13" s="1" t="s">
        <v>197</v>
      </c>
      <c r="I13" s="1">
        <v>265000</v>
      </c>
      <c r="J13" s="1">
        <v>4.75</v>
      </c>
      <c r="K13" s="1">
        <f t="shared" si="0"/>
        <v>875000</v>
      </c>
      <c r="L13" s="26">
        <v>56225</v>
      </c>
      <c r="M13" s="1">
        <v>4.8499999999999996</v>
      </c>
      <c r="N13" s="1">
        <v>99.097999999999999</v>
      </c>
    </row>
    <row r="14" spans="1:14" x14ac:dyDescent="0.3">
      <c r="A14" s="20" t="s">
        <v>181</v>
      </c>
      <c r="B14" s="1" t="s">
        <v>182</v>
      </c>
      <c r="C14" s="1">
        <v>1994</v>
      </c>
      <c r="D14" s="1" t="s">
        <v>183</v>
      </c>
      <c r="E14" s="1" t="s">
        <v>190</v>
      </c>
      <c r="F14" s="1" t="s">
        <v>196</v>
      </c>
      <c r="G14" s="1">
        <v>2007</v>
      </c>
      <c r="H14" s="1" t="s">
        <v>197</v>
      </c>
      <c r="I14" s="1">
        <v>275000</v>
      </c>
      <c r="J14" s="1">
        <v>4.8499999999999996</v>
      </c>
      <c r="K14" s="1">
        <f t="shared" si="0"/>
        <v>600000</v>
      </c>
      <c r="L14" s="26">
        <v>43639</v>
      </c>
      <c r="M14" s="1">
        <v>4.95</v>
      </c>
      <c r="N14" s="1">
        <v>99.049000000000007</v>
      </c>
    </row>
    <row r="15" spans="1:14" x14ac:dyDescent="0.3">
      <c r="A15" s="20" t="s">
        <v>181</v>
      </c>
      <c r="B15" s="1" t="s">
        <v>182</v>
      </c>
      <c r="C15" s="1">
        <v>1994</v>
      </c>
      <c r="D15" s="1" t="s">
        <v>183</v>
      </c>
      <c r="E15" s="1" t="s">
        <v>190</v>
      </c>
      <c r="F15" s="1" t="s">
        <v>489</v>
      </c>
      <c r="G15" s="1">
        <v>2008</v>
      </c>
      <c r="H15" s="1" t="s">
        <v>197</v>
      </c>
      <c r="I15" s="1">
        <v>295000</v>
      </c>
      <c r="J15" s="1">
        <v>5.05</v>
      </c>
      <c r="K15" s="1">
        <f t="shared" si="0"/>
        <v>305000</v>
      </c>
      <c r="L15" s="26">
        <v>30300</v>
      </c>
      <c r="M15" s="1">
        <v>5.15</v>
      </c>
      <c r="N15" s="1">
        <v>98.962999999999994</v>
      </c>
    </row>
    <row r="16" spans="1:14" x14ac:dyDescent="0.3">
      <c r="A16" s="20" t="s">
        <v>181</v>
      </c>
      <c r="B16" s="1" t="s">
        <v>182</v>
      </c>
      <c r="C16" s="1">
        <v>1994</v>
      </c>
      <c r="D16" s="1" t="s">
        <v>183</v>
      </c>
      <c r="E16" s="1" t="s">
        <v>190</v>
      </c>
      <c r="F16" s="1" t="s">
        <v>489</v>
      </c>
      <c r="G16" s="1">
        <v>2009</v>
      </c>
      <c r="H16" s="1" t="s">
        <v>197</v>
      </c>
      <c r="I16" s="1">
        <v>305000</v>
      </c>
      <c r="J16" s="1">
        <v>5.05</v>
      </c>
      <c r="K16" s="1">
        <f t="shared" si="0"/>
        <v>0</v>
      </c>
      <c r="L16" s="26">
        <v>15402</v>
      </c>
      <c r="M16" s="1">
        <v>5.15</v>
      </c>
      <c r="N16" s="1">
        <v>98.962999999999994</v>
      </c>
    </row>
    <row r="17" spans="1:14" x14ac:dyDescent="0.3">
      <c r="A17" s="20" t="s">
        <v>181</v>
      </c>
      <c r="B17" s="1" t="s">
        <v>182</v>
      </c>
      <c r="C17" s="1">
        <v>2003</v>
      </c>
      <c r="D17" s="1" t="s">
        <v>183</v>
      </c>
      <c r="E17" s="1" t="s">
        <v>190</v>
      </c>
      <c r="F17" s="1" t="s">
        <v>196</v>
      </c>
      <c r="G17" s="1">
        <v>2003</v>
      </c>
      <c r="H17" s="1" t="s">
        <v>197</v>
      </c>
      <c r="I17" s="1">
        <v>0</v>
      </c>
      <c r="J17" s="1">
        <v>0</v>
      </c>
      <c r="K17" s="1">
        <f>6715000-I17</f>
        <v>6715000</v>
      </c>
      <c r="L17" s="1">
        <v>124098</v>
      </c>
      <c r="N17" s="1" t="s">
        <v>194</v>
      </c>
    </row>
    <row r="18" spans="1:14" x14ac:dyDescent="0.3">
      <c r="A18" s="20" t="s">
        <v>181</v>
      </c>
      <c r="B18" s="1" t="s">
        <v>182</v>
      </c>
      <c r="C18" s="1">
        <v>2003</v>
      </c>
      <c r="D18" s="1" t="s">
        <v>183</v>
      </c>
      <c r="E18" s="1" t="s">
        <v>190</v>
      </c>
      <c r="F18" s="1" t="s">
        <v>196</v>
      </c>
      <c r="G18" s="1">
        <v>2004</v>
      </c>
      <c r="H18" s="1" t="s">
        <v>197</v>
      </c>
      <c r="I18" s="1">
        <v>25000</v>
      </c>
      <c r="J18" s="1">
        <v>1.25</v>
      </c>
      <c r="K18" s="1">
        <f>K17-I18</f>
        <v>6690000</v>
      </c>
      <c r="L18" s="1">
        <v>268971</v>
      </c>
      <c r="N18" s="1">
        <v>100</v>
      </c>
    </row>
    <row r="19" spans="1:14" x14ac:dyDescent="0.3">
      <c r="A19" s="20" t="s">
        <v>181</v>
      </c>
      <c r="B19" s="1" t="s">
        <v>182</v>
      </c>
      <c r="C19" s="1">
        <v>2003</v>
      </c>
      <c r="D19" s="1" t="s">
        <v>183</v>
      </c>
      <c r="E19" s="1" t="s">
        <v>190</v>
      </c>
      <c r="F19" s="1" t="s">
        <v>196</v>
      </c>
      <c r="G19" s="1">
        <v>2005</v>
      </c>
      <c r="H19" s="1" t="s">
        <v>197</v>
      </c>
      <c r="I19" s="1">
        <v>40000</v>
      </c>
      <c r="J19" s="1">
        <v>1.45</v>
      </c>
      <c r="K19" s="1">
        <f>K18-I19</f>
        <v>6650000</v>
      </c>
      <c r="L19" s="1">
        <v>268525</v>
      </c>
      <c r="N19" s="1">
        <v>100</v>
      </c>
    </row>
    <row r="20" spans="1:14" x14ac:dyDescent="0.3">
      <c r="A20" s="20" t="s">
        <v>181</v>
      </c>
      <c r="B20" s="1" t="s">
        <v>182</v>
      </c>
      <c r="C20" s="1">
        <v>2003</v>
      </c>
      <c r="D20" s="1" t="s">
        <v>183</v>
      </c>
      <c r="E20" s="1" t="s">
        <v>190</v>
      </c>
      <c r="F20" s="1" t="s">
        <v>196</v>
      </c>
      <c r="G20" s="1">
        <v>2006</v>
      </c>
      <c r="H20" s="1" t="s">
        <v>197</v>
      </c>
      <c r="I20" s="1">
        <v>40000</v>
      </c>
      <c r="J20" s="1">
        <v>1.85</v>
      </c>
      <c r="K20" s="1">
        <f t="shared" ref="K20:K37" si="1">K19-I20</f>
        <v>6610000</v>
      </c>
      <c r="L20" s="1">
        <v>267865</v>
      </c>
      <c r="N20" s="1">
        <v>100</v>
      </c>
    </row>
    <row r="21" spans="1:14" x14ac:dyDescent="0.3">
      <c r="A21" s="20" t="s">
        <v>181</v>
      </c>
      <c r="B21" s="1" t="s">
        <v>182</v>
      </c>
      <c r="C21" s="1">
        <v>2003</v>
      </c>
      <c r="D21" s="1" t="s">
        <v>183</v>
      </c>
      <c r="E21" s="1" t="s">
        <v>190</v>
      </c>
      <c r="F21" s="1" t="s">
        <v>196</v>
      </c>
      <c r="G21" s="1">
        <v>2007</v>
      </c>
      <c r="H21" s="1" t="s">
        <v>197</v>
      </c>
      <c r="I21" s="1">
        <v>220000</v>
      </c>
      <c r="J21" s="1">
        <v>2.2000000000000002</v>
      </c>
      <c r="K21" s="1">
        <f t="shared" si="1"/>
        <v>6390000</v>
      </c>
      <c r="L21" s="1">
        <v>265075</v>
      </c>
      <c r="N21" s="1">
        <v>99.811000000000007</v>
      </c>
    </row>
    <row r="22" spans="1:14" x14ac:dyDescent="0.3">
      <c r="A22" s="20" t="s">
        <v>181</v>
      </c>
      <c r="B22" s="1" t="s">
        <v>182</v>
      </c>
      <c r="C22" s="1">
        <v>2003</v>
      </c>
      <c r="D22" s="1" t="s">
        <v>183</v>
      </c>
      <c r="E22" s="1" t="s">
        <v>190</v>
      </c>
      <c r="F22" s="1" t="s">
        <v>196</v>
      </c>
      <c r="G22" s="1">
        <v>2008</v>
      </c>
      <c r="H22" s="1" t="s">
        <v>197</v>
      </c>
      <c r="I22" s="1">
        <v>275000</v>
      </c>
      <c r="J22" s="1">
        <v>2.6</v>
      </c>
      <c r="K22" s="1">
        <f t="shared" si="1"/>
        <v>6115000</v>
      </c>
      <c r="L22" s="1">
        <v>259080</v>
      </c>
      <c r="N22" s="1">
        <v>99.63</v>
      </c>
    </row>
    <row r="23" spans="1:14" x14ac:dyDescent="0.3">
      <c r="A23" s="20" t="s">
        <v>181</v>
      </c>
      <c r="B23" s="1" t="s">
        <v>182</v>
      </c>
      <c r="C23" s="1">
        <v>2003</v>
      </c>
      <c r="D23" s="1" t="s">
        <v>183</v>
      </c>
      <c r="E23" s="1" t="s">
        <v>190</v>
      </c>
      <c r="F23" s="1" t="s">
        <v>196</v>
      </c>
      <c r="G23" s="1">
        <v>2009</v>
      </c>
      <c r="H23" s="1" t="s">
        <v>197</v>
      </c>
      <c r="I23" s="1">
        <v>285000</v>
      </c>
      <c r="J23" s="1">
        <v>3</v>
      </c>
      <c r="K23" s="1">
        <f t="shared" si="1"/>
        <v>5830000</v>
      </c>
      <c r="L23" s="1">
        <v>251230</v>
      </c>
      <c r="N23" s="1">
        <v>99.727999999999994</v>
      </c>
    </row>
    <row r="24" spans="1:14" x14ac:dyDescent="0.3">
      <c r="A24" s="20" t="s">
        <v>181</v>
      </c>
      <c r="B24" s="1" t="s">
        <v>182</v>
      </c>
      <c r="C24" s="1">
        <v>2003</v>
      </c>
      <c r="D24" s="1" t="s">
        <v>183</v>
      </c>
      <c r="E24" s="1" t="s">
        <v>190</v>
      </c>
      <c r="F24" s="1" t="s">
        <v>196</v>
      </c>
      <c r="G24" s="1">
        <v>2010</v>
      </c>
      <c r="H24" s="1" t="s">
        <v>197</v>
      </c>
      <c r="I24" s="1">
        <v>290000</v>
      </c>
      <c r="J24" s="1">
        <v>3.25</v>
      </c>
      <c r="K24" s="1">
        <f t="shared" si="1"/>
        <v>5540000</v>
      </c>
      <c r="L24" s="1">
        <v>242243</v>
      </c>
      <c r="N24" s="1">
        <v>99.382999999999996</v>
      </c>
    </row>
    <row r="25" spans="1:14" x14ac:dyDescent="0.3">
      <c r="A25" s="20" t="s">
        <v>181</v>
      </c>
      <c r="B25" s="1" t="s">
        <v>182</v>
      </c>
      <c r="C25" s="1">
        <v>2003</v>
      </c>
      <c r="D25" s="1" t="s">
        <v>183</v>
      </c>
      <c r="E25" s="1" t="s">
        <v>190</v>
      </c>
      <c r="F25" s="1" t="s">
        <v>196</v>
      </c>
      <c r="G25" s="1">
        <v>2011</v>
      </c>
      <c r="H25" s="1" t="s">
        <v>197</v>
      </c>
      <c r="I25" s="1">
        <v>300000</v>
      </c>
      <c r="J25" s="1">
        <v>3.5</v>
      </c>
      <c r="K25" s="1">
        <f t="shared" si="1"/>
        <v>5240000</v>
      </c>
      <c r="L25" s="1">
        <v>232280</v>
      </c>
      <c r="N25" s="1">
        <v>99.311999999999998</v>
      </c>
    </row>
    <row r="26" spans="1:14" x14ac:dyDescent="0.3">
      <c r="A26" s="20" t="s">
        <v>181</v>
      </c>
      <c r="B26" s="1" t="s">
        <v>182</v>
      </c>
      <c r="C26" s="1">
        <v>2003</v>
      </c>
      <c r="D26" s="1" t="s">
        <v>183</v>
      </c>
      <c r="E26" s="1" t="s">
        <v>190</v>
      </c>
      <c r="F26" s="1" t="s">
        <v>196</v>
      </c>
      <c r="G26" s="1">
        <v>2012</v>
      </c>
      <c r="H26" s="1" t="s">
        <v>197</v>
      </c>
      <c r="I26" s="1">
        <v>310000</v>
      </c>
      <c r="J26" s="1">
        <v>3.75</v>
      </c>
      <c r="K26" s="1">
        <f t="shared" si="1"/>
        <v>4930000</v>
      </c>
      <c r="L26" s="1">
        <v>221218</v>
      </c>
      <c r="N26" s="1">
        <v>100</v>
      </c>
    </row>
    <row r="27" spans="1:14" x14ac:dyDescent="0.3">
      <c r="A27" s="20" t="s">
        <v>181</v>
      </c>
      <c r="B27" s="1" t="s">
        <v>182</v>
      </c>
      <c r="C27" s="1">
        <v>2003</v>
      </c>
      <c r="D27" s="1" t="s">
        <v>183</v>
      </c>
      <c r="E27" s="1" t="s">
        <v>190</v>
      </c>
      <c r="F27" s="1" t="s">
        <v>196</v>
      </c>
      <c r="G27" s="1">
        <v>2013</v>
      </c>
      <c r="H27" s="1" t="s">
        <v>197</v>
      </c>
      <c r="I27" s="1">
        <v>325000</v>
      </c>
      <c r="J27" s="1">
        <v>3.8</v>
      </c>
      <c r="K27" s="1">
        <f t="shared" si="1"/>
        <v>4605000</v>
      </c>
      <c r="L27" s="1">
        <v>209230</v>
      </c>
      <c r="N27" s="1">
        <v>99.016999999999996</v>
      </c>
    </row>
    <row r="28" spans="1:14" x14ac:dyDescent="0.3">
      <c r="A28" s="20" t="s">
        <v>181</v>
      </c>
      <c r="B28" s="1" t="s">
        <v>182</v>
      </c>
      <c r="C28" s="1">
        <v>2003</v>
      </c>
      <c r="D28" s="1" t="s">
        <v>183</v>
      </c>
      <c r="E28" s="1" t="s">
        <v>190</v>
      </c>
      <c r="F28" s="1" t="s">
        <v>489</v>
      </c>
      <c r="G28" s="1">
        <v>2014</v>
      </c>
      <c r="H28" s="1" t="s">
        <v>197</v>
      </c>
      <c r="I28" s="1">
        <v>335000</v>
      </c>
      <c r="J28" s="1">
        <v>4</v>
      </c>
      <c r="K28" s="1">
        <f t="shared" si="1"/>
        <v>4270000</v>
      </c>
      <c r="L28" s="1">
        <v>196354</v>
      </c>
      <c r="N28" s="1">
        <v>99.528000000000006</v>
      </c>
    </row>
    <row r="29" spans="1:14" x14ac:dyDescent="0.3">
      <c r="A29" s="20" t="s">
        <v>181</v>
      </c>
      <c r="B29" s="1" t="s">
        <v>182</v>
      </c>
      <c r="C29" s="1">
        <v>2003</v>
      </c>
      <c r="D29" s="1" t="s">
        <v>183</v>
      </c>
      <c r="E29" s="1" t="s">
        <v>190</v>
      </c>
      <c r="F29" s="1" t="s">
        <v>489</v>
      </c>
      <c r="G29" s="1">
        <v>2015</v>
      </c>
      <c r="H29" s="1" t="s">
        <v>197</v>
      </c>
      <c r="I29" s="1">
        <v>350000</v>
      </c>
      <c r="J29" s="1">
        <v>4</v>
      </c>
      <c r="K29" s="1">
        <f t="shared" si="1"/>
        <v>3920000</v>
      </c>
      <c r="L29" s="1">
        <v>182655</v>
      </c>
      <c r="N29" s="1">
        <v>99.528000000000006</v>
      </c>
    </row>
    <row r="30" spans="1:14" x14ac:dyDescent="0.3">
      <c r="A30" s="20" t="s">
        <v>181</v>
      </c>
      <c r="B30" s="1" t="s">
        <v>182</v>
      </c>
      <c r="C30" s="1">
        <v>2003</v>
      </c>
      <c r="D30" s="1" t="s">
        <v>183</v>
      </c>
      <c r="E30" s="1" t="s">
        <v>190</v>
      </c>
      <c r="F30" s="1" t="s">
        <v>196</v>
      </c>
      <c r="G30" s="1">
        <v>2016</v>
      </c>
      <c r="H30" s="1" t="s">
        <v>197</v>
      </c>
      <c r="I30" s="1">
        <v>360000</v>
      </c>
      <c r="J30" s="1">
        <v>4.2</v>
      </c>
      <c r="K30" s="1">
        <f t="shared" si="1"/>
        <v>3560000</v>
      </c>
      <c r="L30" s="1">
        <v>168095</v>
      </c>
      <c r="N30" s="1">
        <v>100</v>
      </c>
    </row>
    <row r="31" spans="1:14" x14ac:dyDescent="0.3">
      <c r="A31" s="20" t="s">
        <v>181</v>
      </c>
      <c r="B31" s="1" t="s">
        <v>182</v>
      </c>
      <c r="C31" s="1">
        <v>2003</v>
      </c>
      <c r="D31" s="1" t="s">
        <v>183</v>
      </c>
      <c r="E31" s="1" t="s">
        <v>190</v>
      </c>
      <c r="F31" s="1" t="s">
        <v>196</v>
      </c>
      <c r="G31" s="1">
        <v>2017</v>
      </c>
      <c r="H31" s="1" t="s">
        <v>197</v>
      </c>
      <c r="I31" s="1">
        <v>375000</v>
      </c>
      <c r="J31" s="1">
        <v>4.2</v>
      </c>
      <c r="K31" s="1">
        <f t="shared" si="1"/>
        <v>3185000</v>
      </c>
      <c r="L31" s="1">
        <v>152660</v>
      </c>
      <c r="N31" s="1">
        <v>98.956999999999994</v>
      </c>
    </row>
    <row r="32" spans="1:14" x14ac:dyDescent="0.3">
      <c r="A32" s="20" t="s">
        <v>181</v>
      </c>
      <c r="B32" s="1" t="s">
        <v>182</v>
      </c>
      <c r="C32" s="1">
        <v>2003</v>
      </c>
      <c r="D32" s="1" t="s">
        <v>183</v>
      </c>
      <c r="E32" s="1" t="s">
        <v>190</v>
      </c>
      <c r="F32" s="1" t="s">
        <v>196</v>
      </c>
      <c r="G32" s="1">
        <v>2018</v>
      </c>
      <c r="H32" s="1" t="s">
        <v>197</v>
      </c>
      <c r="I32" s="1">
        <v>395000</v>
      </c>
      <c r="J32" s="1">
        <v>4.3</v>
      </c>
      <c r="K32" s="1">
        <f t="shared" si="1"/>
        <v>2790000</v>
      </c>
      <c r="L32" s="1">
        <v>136293</v>
      </c>
      <c r="N32" s="1">
        <v>99.126999999999995</v>
      </c>
    </row>
    <row r="33" spans="1:14" x14ac:dyDescent="0.3">
      <c r="A33" s="20" t="s">
        <v>181</v>
      </c>
      <c r="B33" s="1" t="s">
        <v>182</v>
      </c>
      <c r="C33" s="1">
        <v>2003</v>
      </c>
      <c r="D33" s="1" t="s">
        <v>183</v>
      </c>
      <c r="E33" s="1" t="s">
        <v>190</v>
      </c>
      <c r="F33" s="1" t="s">
        <v>489</v>
      </c>
      <c r="G33" s="1">
        <v>2019</v>
      </c>
      <c r="H33" s="1" t="s">
        <v>197</v>
      </c>
      <c r="I33" s="1">
        <v>410000</v>
      </c>
      <c r="J33" s="1">
        <v>4.5</v>
      </c>
      <c r="K33" s="1">
        <f t="shared" si="1"/>
        <v>2380000</v>
      </c>
      <c r="L33" s="1">
        <v>118575</v>
      </c>
      <c r="N33" s="1">
        <v>99.631</v>
      </c>
    </row>
    <row r="34" spans="1:14" x14ac:dyDescent="0.3">
      <c r="A34" s="20" t="s">
        <v>181</v>
      </c>
      <c r="B34" s="1" t="s">
        <v>182</v>
      </c>
      <c r="C34" s="1">
        <v>2003</v>
      </c>
      <c r="D34" s="1" t="s">
        <v>183</v>
      </c>
      <c r="E34" s="1" t="s">
        <v>190</v>
      </c>
      <c r="F34" s="1" t="s">
        <v>489</v>
      </c>
      <c r="G34" s="1">
        <v>2020</v>
      </c>
      <c r="H34" s="1" t="s">
        <v>197</v>
      </c>
      <c r="I34" s="1">
        <v>430000</v>
      </c>
      <c r="J34" s="1">
        <v>4.5</v>
      </c>
      <c r="K34" s="1">
        <f t="shared" si="1"/>
        <v>1950000</v>
      </c>
      <c r="L34" s="1">
        <v>99675</v>
      </c>
      <c r="N34" s="1">
        <v>99.631</v>
      </c>
    </row>
    <row r="35" spans="1:14" x14ac:dyDescent="0.3">
      <c r="A35" s="20" t="s">
        <v>181</v>
      </c>
      <c r="B35" s="1" t="s">
        <v>182</v>
      </c>
      <c r="C35" s="1">
        <v>2003</v>
      </c>
      <c r="D35" s="1" t="s">
        <v>183</v>
      </c>
      <c r="E35" s="1" t="s">
        <v>190</v>
      </c>
      <c r="F35" s="1" t="s">
        <v>489</v>
      </c>
      <c r="G35" s="1">
        <v>2021</v>
      </c>
      <c r="H35" s="1" t="s">
        <v>197</v>
      </c>
      <c r="I35" s="1">
        <v>450000</v>
      </c>
      <c r="J35" s="1">
        <v>4.5</v>
      </c>
      <c r="K35" s="1">
        <f t="shared" si="1"/>
        <v>1500000</v>
      </c>
      <c r="L35" s="1">
        <v>79875</v>
      </c>
      <c r="N35" s="1">
        <v>99.631</v>
      </c>
    </row>
    <row r="36" spans="1:14" x14ac:dyDescent="0.3">
      <c r="A36" s="20" t="s">
        <v>181</v>
      </c>
      <c r="B36" s="1" t="s">
        <v>182</v>
      </c>
      <c r="C36" s="1">
        <v>2003</v>
      </c>
      <c r="D36" s="1" t="s">
        <v>183</v>
      </c>
      <c r="E36" s="1" t="s">
        <v>190</v>
      </c>
      <c r="F36" s="1" t="s">
        <v>489</v>
      </c>
      <c r="G36" s="1">
        <v>2022</v>
      </c>
      <c r="H36" s="1" t="s">
        <v>197</v>
      </c>
      <c r="I36" s="1">
        <v>470000</v>
      </c>
      <c r="J36" s="1">
        <v>4.6500000000000004</v>
      </c>
      <c r="K36" s="1">
        <f t="shared" si="1"/>
        <v>1030000</v>
      </c>
      <c r="L36" s="1">
        <v>58823</v>
      </c>
      <c r="N36" s="1">
        <v>99.611000000000004</v>
      </c>
    </row>
    <row r="37" spans="1:14" x14ac:dyDescent="0.3">
      <c r="A37" s="20" t="s">
        <v>181</v>
      </c>
      <c r="B37" s="1" t="s">
        <v>182</v>
      </c>
      <c r="C37" s="1">
        <v>2003</v>
      </c>
      <c r="D37" s="1" t="s">
        <v>183</v>
      </c>
      <c r="E37" s="1" t="s">
        <v>190</v>
      </c>
      <c r="F37" s="1" t="s">
        <v>489</v>
      </c>
      <c r="G37" s="1">
        <v>2023</v>
      </c>
      <c r="H37" s="1" t="s">
        <v>197</v>
      </c>
      <c r="I37" s="1">
        <v>1030000</v>
      </c>
      <c r="J37" s="1">
        <v>4.6500000000000004</v>
      </c>
      <c r="K37" s="1">
        <f t="shared" si="1"/>
        <v>0</v>
      </c>
      <c r="L37" s="1">
        <v>23947</v>
      </c>
      <c r="N37" s="1">
        <v>99.611000000000004</v>
      </c>
    </row>
    <row r="38" spans="1:14" x14ac:dyDescent="0.3">
      <c r="A38" s="20" t="s">
        <v>181</v>
      </c>
      <c r="B38" s="1" t="s">
        <v>182</v>
      </c>
      <c r="C38" s="1">
        <v>2010</v>
      </c>
      <c r="D38" s="1" t="s">
        <v>183</v>
      </c>
      <c r="E38" s="1" t="s">
        <v>190</v>
      </c>
      <c r="F38" s="1" t="s">
        <v>196</v>
      </c>
      <c r="G38" s="1">
        <v>2011</v>
      </c>
      <c r="H38" s="1" t="s">
        <v>197</v>
      </c>
      <c r="I38" s="1">
        <v>315000</v>
      </c>
      <c r="J38" s="1">
        <v>1.75</v>
      </c>
      <c r="K38" s="1">
        <f>8650000-I38</f>
        <v>8335000</v>
      </c>
      <c r="L38" s="1" t="s">
        <v>194</v>
      </c>
      <c r="M38" s="1">
        <v>1.75</v>
      </c>
      <c r="N38" s="1">
        <v>100</v>
      </c>
    </row>
    <row r="39" spans="1:14" x14ac:dyDescent="0.3">
      <c r="A39" s="20" t="s">
        <v>181</v>
      </c>
      <c r="B39" s="1" t="s">
        <v>182</v>
      </c>
      <c r="C39" s="1">
        <v>2010</v>
      </c>
      <c r="D39" s="1" t="s">
        <v>183</v>
      </c>
      <c r="E39" s="1" t="s">
        <v>190</v>
      </c>
      <c r="F39" s="1" t="s">
        <v>196</v>
      </c>
      <c r="G39" s="1">
        <v>2012</v>
      </c>
      <c r="H39" s="1" t="s">
        <v>197</v>
      </c>
      <c r="I39" s="1">
        <v>320000</v>
      </c>
      <c r="J39" s="1">
        <v>2</v>
      </c>
      <c r="K39" s="1">
        <f>K38-I39</f>
        <v>8015000</v>
      </c>
      <c r="L39" s="1" t="s">
        <v>194</v>
      </c>
      <c r="M39" s="1">
        <v>2.1</v>
      </c>
      <c r="N39" s="1">
        <v>99.813999999999993</v>
      </c>
    </row>
    <row r="40" spans="1:14" x14ac:dyDescent="0.3">
      <c r="A40" s="20" t="s">
        <v>181</v>
      </c>
      <c r="B40" s="1" t="s">
        <v>182</v>
      </c>
      <c r="C40" s="1">
        <v>2010</v>
      </c>
      <c r="D40" s="1" t="s">
        <v>183</v>
      </c>
      <c r="E40" s="1" t="s">
        <v>190</v>
      </c>
      <c r="F40" s="1" t="s">
        <v>196</v>
      </c>
      <c r="G40" s="1">
        <v>2013</v>
      </c>
      <c r="H40" s="1" t="s">
        <v>197</v>
      </c>
      <c r="I40" s="1">
        <v>330000</v>
      </c>
      <c r="J40" s="1">
        <v>2.25</v>
      </c>
      <c r="K40" s="1">
        <f t="shared" ref="K40:K57" si="2">K39-I40</f>
        <v>7685000</v>
      </c>
      <c r="L40" s="1" t="s">
        <v>194</v>
      </c>
      <c r="M40" s="1">
        <v>2.41</v>
      </c>
      <c r="N40" s="1">
        <v>99.554000000000002</v>
      </c>
    </row>
    <row r="41" spans="1:14" x14ac:dyDescent="0.3">
      <c r="A41" s="20" t="s">
        <v>181</v>
      </c>
      <c r="B41" s="1" t="s">
        <v>182</v>
      </c>
      <c r="C41" s="1">
        <v>2010</v>
      </c>
      <c r="D41" s="1" t="s">
        <v>183</v>
      </c>
      <c r="E41" s="1" t="s">
        <v>190</v>
      </c>
      <c r="F41" s="1" t="s">
        <v>196</v>
      </c>
      <c r="G41" s="1">
        <v>2014</v>
      </c>
      <c r="H41" s="1" t="s">
        <v>197</v>
      </c>
      <c r="I41" s="1">
        <v>335000</v>
      </c>
      <c r="J41" s="1">
        <v>2.75</v>
      </c>
      <c r="K41" s="1">
        <f t="shared" si="2"/>
        <v>7350000</v>
      </c>
      <c r="L41" s="1" t="s">
        <v>194</v>
      </c>
      <c r="M41" s="1">
        <v>2.8</v>
      </c>
      <c r="N41" s="1">
        <v>99.814999999999998</v>
      </c>
    </row>
    <row r="42" spans="1:14" x14ac:dyDescent="0.3">
      <c r="A42" s="20" t="s">
        <v>181</v>
      </c>
      <c r="B42" s="1" t="s">
        <v>182</v>
      </c>
      <c r="C42" s="1">
        <v>2010</v>
      </c>
      <c r="D42" s="1" t="s">
        <v>183</v>
      </c>
      <c r="E42" s="1" t="s">
        <v>190</v>
      </c>
      <c r="F42" s="1" t="s">
        <v>196</v>
      </c>
      <c r="G42" s="1">
        <v>2015</v>
      </c>
      <c r="H42" s="1" t="s">
        <v>197</v>
      </c>
      <c r="I42" s="1">
        <v>345000</v>
      </c>
      <c r="J42" s="1">
        <v>3.125</v>
      </c>
      <c r="K42" s="1">
        <f t="shared" si="2"/>
        <v>7005000</v>
      </c>
      <c r="L42" s="1" t="s">
        <v>194</v>
      </c>
      <c r="M42" s="1">
        <v>3.25</v>
      </c>
      <c r="N42" s="1">
        <v>99.436000000000007</v>
      </c>
    </row>
    <row r="43" spans="1:14" x14ac:dyDescent="0.3">
      <c r="A43" s="20" t="s">
        <v>181</v>
      </c>
      <c r="B43" s="1" t="s">
        <v>182</v>
      </c>
      <c r="C43" s="1">
        <v>2010</v>
      </c>
      <c r="D43" s="1" t="s">
        <v>183</v>
      </c>
      <c r="E43" s="1" t="s">
        <v>190</v>
      </c>
      <c r="F43" s="1" t="s">
        <v>196</v>
      </c>
      <c r="G43" s="1">
        <v>2016</v>
      </c>
      <c r="H43" s="1" t="s">
        <v>197</v>
      </c>
      <c r="I43" s="1">
        <v>355000</v>
      </c>
      <c r="J43" s="1">
        <v>3.625</v>
      </c>
      <c r="K43" s="1">
        <f t="shared" si="2"/>
        <v>6650000</v>
      </c>
      <c r="L43" s="1" t="s">
        <v>194</v>
      </c>
      <c r="M43" s="1">
        <v>3.7</v>
      </c>
      <c r="N43" s="1">
        <v>99.602999999999994</v>
      </c>
    </row>
    <row r="44" spans="1:14" x14ac:dyDescent="0.3">
      <c r="A44" s="20" t="s">
        <v>181</v>
      </c>
      <c r="B44" s="1" t="s">
        <v>182</v>
      </c>
      <c r="C44" s="1">
        <v>2010</v>
      </c>
      <c r="D44" s="1" t="s">
        <v>183</v>
      </c>
      <c r="E44" s="1" t="s">
        <v>190</v>
      </c>
      <c r="F44" s="1" t="s">
        <v>196</v>
      </c>
      <c r="G44" s="1">
        <v>2017</v>
      </c>
      <c r="H44" s="1" t="s">
        <v>197</v>
      </c>
      <c r="I44" s="1">
        <v>370000</v>
      </c>
      <c r="J44" s="1">
        <v>4.75</v>
      </c>
      <c r="K44" s="1">
        <f t="shared" si="2"/>
        <v>6280000</v>
      </c>
      <c r="L44" s="1" t="s">
        <v>194</v>
      </c>
      <c r="M44" s="1">
        <v>4.03</v>
      </c>
      <c r="N44" s="1">
        <v>104.291</v>
      </c>
    </row>
    <row r="45" spans="1:14" x14ac:dyDescent="0.3">
      <c r="A45" s="20" t="s">
        <v>181</v>
      </c>
      <c r="B45" s="1" t="s">
        <v>182</v>
      </c>
      <c r="C45" s="1">
        <v>2010</v>
      </c>
      <c r="D45" s="1" t="s">
        <v>183</v>
      </c>
      <c r="E45" s="1" t="s">
        <v>190</v>
      </c>
      <c r="F45" s="1" t="s">
        <v>196</v>
      </c>
      <c r="G45" s="1">
        <v>2018</v>
      </c>
      <c r="H45" s="1" t="s">
        <v>197</v>
      </c>
      <c r="I45" s="1">
        <v>385000</v>
      </c>
      <c r="J45" s="1">
        <v>4.5</v>
      </c>
      <c r="K45" s="1">
        <f t="shared" si="2"/>
        <v>5895000</v>
      </c>
      <c r="L45" s="1" t="s">
        <v>194</v>
      </c>
      <c r="M45" s="1">
        <v>4.3099999999999996</v>
      </c>
      <c r="N45" s="1">
        <v>101.255</v>
      </c>
    </row>
    <row r="46" spans="1:14" x14ac:dyDescent="0.3">
      <c r="A46" s="20" t="s">
        <v>181</v>
      </c>
      <c r="B46" s="1" t="s">
        <v>182</v>
      </c>
      <c r="C46" s="1">
        <v>2010</v>
      </c>
      <c r="D46" s="1" t="s">
        <v>183</v>
      </c>
      <c r="E46" s="1" t="s">
        <v>190</v>
      </c>
      <c r="F46" s="1" t="s">
        <v>196</v>
      </c>
      <c r="G46" s="1">
        <v>2019</v>
      </c>
      <c r="H46" s="1" t="s">
        <v>197</v>
      </c>
      <c r="I46" s="1">
        <v>405000</v>
      </c>
      <c r="J46" s="1">
        <v>4.5</v>
      </c>
      <c r="K46" s="1">
        <f t="shared" si="2"/>
        <v>5490000</v>
      </c>
      <c r="L46" s="1" t="s">
        <v>194</v>
      </c>
      <c r="M46" s="1">
        <v>4.5199999999999996</v>
      </c>
      <c r="N46" s="1">
        <v>99.85</v>
      </c>
    </row>
    <row r="47" spans="1:14" x14ac:dyDescent="0.3">
      <c r="A47" s="20" t="s">
        <v>181</v>
      </c>
      <c r="B47" s="1" t="s">
        <v>182</v>
      </c>
      <c r="C47" s="1">
        <v>2010</v>
      </c>
      <c r="D47" s="1" t="s">
        <v>183</v>
      </c>
      <c r="E47" s="1" t="s">
        <v>190</v>
      </c>
      <c r="F47" s="1" t="s">
        <v>196</v>
      </c>
      <c r="G47" s="1">
        <v>2020</v>
      </c>
      <c r="H47" s="1" t="s">
        <v>197</v>
      </c>
      <c r="I47" s="1">
        <f>225000+200000</f>
        <v>425000</v>
      </c>
      <c r="J47" s="1">
        <v>4.75</v>
      </c>
      <c r="K47" s="1">
        <f t="shared" si="2"/>
        <v>5065000</v>
      </c>
      <c r="L47" s="1" t="s">
        <v>194</v>
      </c>
      <c r="M47" s="1">
        <v>4.66</v>
      </c>
      <c r="N47" s="1">
        <v>100.702</v>
      </c>
    </row>
    <row r="48" spans="1:14" x14ac:dyDescent="0.3">
      <c r="A48" s="20" t="s">
        <v>181</v>
      </c>
      <c r="B48" s="1" t="s">
        <v>182</v>
      </c>
      <c r="C48" s="1">
        <v>2010</v>
      </c>
      <c r="D48" s="1" t="s">
        <v>183</v>
      </c>
      <c r="E48" s="1" t="s">
        <v>190</v>
      </c>
      <c r="F48" s="1" t="s">
        <v>489</v>
      </c>
      <c r="G48" s="1">
        <v>2021</v>
      </c>
      <c r="H48" s="1" t="s">
        <v>197</v>
      </c>
      <c r="I48" s="1">
        <v>440000</v>
      </c>
      <c r="J48" s="1">
        <v>4.75</v>
      </c>
      <c r="K48" s="1">
        <f t="shared" si="2"/>
        <v>4625000</v>
      </c>
      <c r="L48" s="1" t="s">
        <v>194</v>
      </c>
      <c r="M48" s="1">
        <v>4.66</v>
      </c>
      <c r="N48" s="1">
        <v>98.739000000000004</v>
      </c>
    </row>
    <row r="49" spans="1:14" x14ac:dyDescent="0.3">
      <c r="A49" s="20" t="s">
        <v>181</v>
      </c>
      <c r="B49" s="1" t="s">
        <v>182</v>
      </c>
      <c r="C49" s="1">
        <v>2010</v>
      </c>
      <c r="D49" s="1" t="s">
        <v>183</v>
      </c>
      <c r="E49" s="1" t="s">
        <v>190</v>
      </c>
      <c r="F49" s="1" t="s">
        <v>489</v>
      </c>
      <c r="G49" s="1">
        <v>2022</v>
      </c>
      <c r="H49" s="1" t="s">
        <v>545</v>
      </c>
      <c r="I49" s="1">
        <v>460000</v>
      </c>
      <c r="J49" s="1">
        <v>4.75</v>
      </c>
      <c r="K49" s="1">
        <f t="shared" si="2"/>
        <v>4165000</v>
      </c>
      <c r="L49" s="1" t="s">
        <v>194</v>
      </c>
      <c r="M49" s="1">
        <v>4.95</v>
      </c>
      <c r="N49" s="1">
        <v>97.905000000000001</v>
      </c>
    </row>
    <row r="50" spans="1:14" x14ac:dyDescent="0.3">
      <c r="A50" s="20" t="s">
        <v>181</v>
      </c>
      <c r="B50" s="1" t="s">
        <v>182</v>
      </c>
      <c r="C50" s="1">
        <v>2010</v>
      </c>
      <c r="D50" s="1" t="s">
        <v>183</v>
      </c>
      <c r="E50" s="1" t="s">
        <v>190</v>
      </c>
      <c r="F50" s="1" t="s">
        <v>489</v>
      </c>
      <c r="G50" s="1">
        <v>2023</v>
      </c>
      <c r="H50" s="1" t="s">
        <v>546</v>
      </c>
      <c r="I50" s="1">
        <v>485000</v>
      </c>
      <c r="J50" s="1">
        <v>4.75</v>
      </c>
      <c r="K50" s="1">
        <f t="shared" si="2"/>
        <v>3680000</v>
      </c>
      <c r="L50" s="1" t="s">
        <v>194</v>
      </c>
      <c r="M50" s="1">
        <v>4.95</v>
      </c>
      <c r="N50" s="1">
        <v>97.905000000000001</v>
      </c>
    </row>
    <row r="51" spans="1:14" x14ac:dyDescent="0.3">
      <c r="A51" s="20" t="s">
        <v>181</v>
      </c>
      <c r="B51" s="1" t="s">
        <v>182</v>
      </c>
      <c r="C51" s="1">
        <v>2010</v>
      </c>
      <c r="D51" s="1" t="s">
        <v>183</v>
      </c>
      <c r="E51" s="1" t="s">
        <v>190</v>
      </c>
      <c r="F51" s="1" t="s">
        <v>489</v>
      </c>
      <c r="G51" s="1">
        <v>2024</v>
      </c>
      <c r="H51" s="1" t="s">
        <v>547</v>
      </c>
      <c r="I51" s="1">
        <v>505000</v>
      </c>
      <c r="J51" s="1">
        <v>4.75</v>
      </c>
      <c r="K51" s="1">
        <f t="shared" si="2"/>
        <v>3175000</v>
      </c>
      <c r="L51" s="1" t="s">
        <v>194</v>
      </c>
      <c r="M51" s="1">
        <v>4.95</v>
      </c>
      <c r="N51" s="1">
        <v>97.905000000000001</v>
      </c>
    </row>
    <row r="52" spans="1:14" x14ac:dyDescent="0.3">
      <c r="A52" s="20" t="s">
        <v>181</v>
      </c>
      <c r="B52" s="1" t="s">
        <v>182</v>
      </c>
      <c r="C52" s="1">
        <v>2010</v>
      </c>
      <c r="D52" s="1" t="s">
        <v>183</v>
      </c>
      <c r="E52" s="1" t="s">
        <v>190</v>
      </c>
      <c r="F52" s="1" t="s">
        <v>489</v>
      </c>
      <c r="G52" s="1">
        <v>2025</v>
      </c>
      <c r="H52" s="1" t="s">
        <v>198</v>
      </c>
      <c r="I52" s="1">
        <v>530000</v>
      </c>
      <c r="J52" s="1">
        <v>4.75</v>
      </c>
      <c r="K52" s="1">
        <f t="shared" si="2"/>
        <v>2645000</v>
      </c>
      <c r="L52" s="1" t="s">
        <v>194</v>
      </c>
      <c r="M52" s="1">
        <v>4.95</v>
      </c>
      <c r="N52" s="1">
        <v>97.905000000000001</v>
      </c>
    </row>
    <row r="53" spans="1:14" x14ac:dyDescent="0.3">
      <c r="A53" s="20" t="s">
        <v>181</v>
      </c>
      <c r="B53" s="1" t="s">
        <v>182</v>
      </c>
      <c r="C53" s="1">
        <v>2010</v>
      </c>
      <c r="D53" s="1" t="s">
        <v>183</v>
      </c>
      <c r="E53" s="1" t="s">
        <v>190</v>
      </c>
      <c r="F53" s="1" t="s">
        <v>489</v>
      </c>
      <c r="G53" s="1">
        <v>2026</v>
      </c>
      <c r="H53" s="1" t="s">
        <v>548</v>
      </c>
      <c r="I53" s="1">
        <v>555000</v>
      </c>
      <c r="J53" s="1">
        <v>5.15</v>
      </c>
      <c r="K53" s="1">
        <f t="shared" si="2"/>
        <v>2090000</v>
      </c>
      <c r="L53" s="1" t="s">
        <v>194</v>
      </c>
      <c r="M53" s="1">
        <v>5.25</v>
      </c>
      <c r="N53" s="1">
        <v>98.769000000000005</v>
      </c>
    </row>
    <row r="54" spans="1:14" x14ac:dyDescent="0.3">
      <c r="A54" s="20" t="s">
        <v>181</v>
      </c>
      <c r="B54" s="1" t="s">
        <v>182</v>
      </c>
      <c r="C54" s="1">
        <v>2010</v>
      </c>
      <c r="D54" s="1" t="s">
        <v>183</v>
      </c>
      <c r="E54" s="1" t="s">
        <v>190</v>
      </c>
      <c r="F54" s="1" t="s">
        <v>489</v>
      </c>
      <c r="G54" s="1">
        <v>2027</v>
      </c>
      <c r="H54" s="1" t="s">
        <v>549</v>
      </c>
      <c r="I54" s="1">
        <v>585000</v>
      </c>
      <c r="J54" s="1">
        <v>5.15</v>
      </c>
      <c r="K54" s="1">
        <f t="shared" si="2"/>
        <v>1505000</v>
      </c>
      <c r="L54" s="1" t="s">
        <v>194</v>
      </c>
      <c r="M54" s="1">
        <v>5.25</v>
      </c>
      <c r="N54" s="1">
        <v>98.769000000000005</v>
      </c>
    </row>
    <row r="55" spans="1:14" x14ac:dyDescent="0.3">
      <c r="A55" s="20" t="s">
        <v>181</v>
      </c>
      <c r="B55" s="1" t="s">
        <v>182</v>
      </c>
      <c r="C55" s="1">
        <v>2010</v>
      </c>
      <c r="D55" s="1" t="s">
        <v>183</v>
      </c>
      <c r="E55" s="1" t="s">
        <v>190</v>
      </c>
      <c r="F55" s="1" t="s">
        <v>489</v>
      </c>
      <c r="G55" s="1">
        <v>2028</v>
      </c>
      <c r="H55" s="1" t="s">
        <v>550</v>
      </c>
      <c r="I55" s="1">
        <v>615000</v>
      </c>
      <c r="J55" s="1">
        <v>5.15</v>
      </c>
      <c r="K55" s="1">
        <f t="shared" si="2"/>
        <v>890000</v>
      </c>
      <c r="L55" s="1" t="s">
        <v>194</v>
      </c>
      <c r="M55" s="1">
        <v>5.25</v>
      </c>
      <c r="N55" s="1">
        <v>98.769000000000005</v>
      </c>
    </row>
    <row r="56" spans="1:14" x14ac:dyDescent="0.3">
      <c r="A56" s="20" t="s">
        <v>181</v>
      </c>
      <c r="B56" s="1" t="s">
        <v>182</v>
      </c>
      <c r="C56" s="1">
        <v>2010</v>
      </c>
      <c r="D56" s="1" t="s">
        <v>183</v>
      </c>
      <c r="E56" s="1" t="s">
        <v>190</v>
      </c>
      <c r="F56" s="1" t="s">
        <v>489</v>
      </c>
      <c r="G56" s="1">
        <v>2029</v>
      </c>
      <c r="H56" s="1" t="s">
        <v>199</v>
      </c>
      <c r="I56" s="1">
        <v>645000</v>
      </c>
      <c r="J56" s="1">
        <v>5.15</v>
      </c>
      <c r="K56" s="1">
        <f t="shared" si="2"/>
        <v>245000</v>
      </c>
      <c r="L56" s="1" t="s">
        <v>194</v>
      </c>
      <c r="M56" s="1">
        <v>5.25</v>
      </c>
      <c r="N56" s="1">
        <v>98.769000000000005</v>
      </c>
    </row>
    <row r="57" spans="1:14" x14ac:dyDescent="0.3">
      <c r="A57" s="20" t="s">
        <v>181</v>
      </c>
      <c r="B57" s="1" t="s">
        <v>182</v>
      </c>
      <c r="C57" s="1">
        <v>2010</v>
      </c>
      <c r="D57" s="1" t="s">
        <v>183</v>
      </c>
      <c r="E57" s="1" t="s">
        <v>190</v>
      </c>
      <c r="F57" s="1" t="s">
        <v>489</v>
      </c>
      <c r="G57" s="1">
        <v>2030</v>
      </c>
      <c r="H57" s="1" t="s">
        <v>197</v>
      </c>
      <c r="I57" s="1">
        <v>245000</v>
      </c>
      <c r="J57" s="1">
        <v>5.15</v>
      </c>
      <c r="K57" s="1">
        <f t="shared" si="2"/>
        <v>0</v>
      </c>
      <c r="L57" s="1" t="s">
        <v>194</v>
      </c>
      <c r="M57" s="1">
        <v>5.25</v>
      </c>
      <c r="N57" s="1">
        <v>98.769000000000005</v>
      </c>
    </row>
    <row r="58" spans="1:14" x14ac:dyDescent="0.3">
      <c r="A58" s="20" t="s">
        <v>181</v>
      </c>
      <c r="B58" s="1" t="s">
        <v>182</v>
      </c>
      <c r="C58" s="1">
        <v>2017</v>
      </c>
      <c r="D58" s="1" t="s">
        <v>183</v>
      </c>
      <c r="E58" s="1" t="s">
        <v>190</v>
      </c>
      <c r="F58" s="1" t="s">
        <v>196</v>
      </c>
      <c r="G58" s="1">
        <v>2018</v>
      </c>
      <c r="H58" s="1" t="s">
        <v>197</v>
      </c>
      <c r="I58" s="1">
        <v>530000</v>
      </c>
      <c r="J58" s="23">
        <v>0.93</v>
      </c>
      <c r="K58" s="1">
        <f>8085000-I58</f>
        <v>7555000</v>
      </c>
      <c r="L58" s="1">
        <v>142329</v>
      </c>
      <c r="M58" s="23">
        <v>0.93</v>
      </c>
      <c r="N58" s="1">
        <v>100</v>
      </c>
    </row>
    <row r="59" spans="1:14" x14ac:dyDescent="0.3">
      <c r="A59" s="20" t="s">
        <v>181</v>
      </c>
      <c r="B59" s="1" t="s">
        <v>182</v>
      </c>
      <c r="C59" s="1">
        <v>2017</v>
      </c>
      <c r="D59" s="1" t="s">
        <v>183</v>
      </c>
      <c r="E59" s="1" t="s">
        <v>190</v>
      </c>
      <c r="F59" s="1" t="s">
        <v>196</v>
      </c>
      <c r="G59" s="1">
        <v>2019</v>
      </c>
      <c r="H59" s="1" t="s">
        <v>197</v>
      </c>
      <c r="I59" s="1">
        <v>525000</v>
      </c>
      <c r="J59" s="23">
        <v>1.08</v>
      </c>
      <c r="K59" s="1">
        <f>K58-I59</f>
        <v>7030000</v>
      </c>
      <c r="L59" s="1">
        <v>149715</v>
      </c>
      <c r="M59" s="23">
        <v>1.08</v>
      </c>
      <c r="N59" s="1">
        <v>100</v>
      </c>
    </row>
    <row r="60" spans="1:14" x14ac:dyDescent="0.3">
      <c r="A60" s="20" t="s">
        <v>181</v>
      </c>
      <c r="B60" s="1" t="s">
        <v>182</v>
      </c>
      <c r="C60" s="1">
        <v>2017</v>
      </c>
      <c r="D60" s="1" t="s">
        <v>183</v>
      </c>
      <c r="E60" s="1" t="s">
        <v>190</v>
      </c>
      <c r="F60" s="1" t="s">
        <v>196</v>
      </c>
      <c r="G60" s="1">
        <v>2020</v>
      </c>
      <c r="H60" s="1" t="s">
        <v>197</v>
      </c>
      <c r="I60" s="1">
        <v>530000</v>
      </c>
      <c r="J60" s="23">
        <v>1.1000000000000001</v>
      </c>
      <c r="K60" s="1">
        <f t="shared" ref="K60:K71" si="3">K59-I60</f>
        <v>6500000</v>
      </c>
      <c r="L60" s="1">
        <v>143965</v>
      </c>
      <c r="M60" s="23">
        <v>1.25</v>
      </c>
      <c r="N60" s="1">
        <v>99.643000000000001</v>
      </c>
    </row>
    <row r="61" spans="1:14" x14ac:dyDescent="0.3">
      <c r="A61" s="20" t="s">
        <v>181</v>
      </c>
      <c r="B61" s="1" t="s">
        <v>182</v>
      </c>
      <c r="C61" s="1">
        <v>2017</v>
      </c>
      <c r="D61" s="1" t="s">
        <v>183</v>
      </c>
      <c r="E61" s="1" t="s">
        <v>190</v>
      </c>
      <c r="F61" s="1" t="s">
        <v>196</v>
      </c>
      <c r="G61" s="1">
        <v>2021</v>
      </c>
      <c r="H61" s="1" t="s">
        <v>197</v>
      </c>
      <c r="I61" s="1">
        <v>535000</v>
      </c>
      <c r="J61" s="23">
        <v>1.25</v>
      </c>
      <c r="K61" s="1">
        <f t="shared" si="3"/>
        <v>5965000</v>
      </c>
      <c r="L61" s="1">
        <v>137706</v>
      </c>
      <c r="M61" s="23">
        <v>1.4</v>
      </c>
      <c r="N61" s="1">
        <v>99.5</v>
      </c>
    </row>
    <row r="62" spans="1:14" x14ac:dyDescent="0.3">
      <c r="A62" s="20" t="s">
        <v>181</v>
      </c>
      <c r="B62" s="1" t="s">
        <v>182</v>
      </c>
      <c r="C62" s="1">
        <v>2017</v>
      </c>
      <c r="D62" s="1" t="s">
        <v>183</v>
      </c>
      <c r="E62" s="1" t="s">
        <v>190</v>
      </c>
      <c r="F62" s="1" t="s">
        <v>196</v>
      </c>
      <c r="G62" s="1">
        <v>2022</v>
      </c>
      <c r="H62" s="1" t="s">
        <v>197</v>
      </c>
      <c r="I62" s="1">
        <v>545000</v>
      </c>
      <c r="J62" s="23">
        <v>1.3</v>
      </c>
      <c r="K62" s="1">
        <f t="shared" si="3"/>
        <v>5420000</v>
      </c>
      <c r="L62" s="1">
        <v>130820</v>
      </c>
      <c r="M62" s="23">
        <v>1.52</v>
      </c>
      <c r="N62" s="1">
        <v>99.061999999999998</v>
      </c>
    </row>
    <row r="63" spans="1:14" x14ac:dyDescent="0.3">
      <c r="A63" s="20" t="s">
        <v>181</v>
      </c>
      <c r="B63" s="1" t="s">
        <v>182</v>
      </c>
      <c r="C63" s="1">
        <v>2017</v>
      </c>
      <c r="D63" s="1" t="s">
        <v>183</v>
      </c>
      <c r="E63" s="1" t="s">
        <v>190</v>
      </c>
      <c r="F63" s="1" t="s">
        <v>196</v>
      </c>
      <c r="G63" s="1">
        <v>2023</v>
      </c>
      <c r="H63" s="1" t="s">
        <v>197</v>
      </c>
      <c r="I63" s="1">
        <v>550000</v>
      </c>
      <c r="J63" s="23">
        <v>1.5</v>
      </c>
      <c r="K63" s="1">
        <f t="shared" si="3"/>
        <v>4870000</v>
      </c>
      <c r="L63" s="1">
        <v>123153</v>
      </c>
      <c r="M63" s="23">
        <v>1.75</v>
      </c>
      <c r="N63" s="1">
        <v>98.712000000000003</v>
      </c>
    </row>
    <row r="64" spans="1:14" x14ac:dyDescent="0.3">
      <c r="A64" s="20" t="s">
        <v>181</v>
      </c>
      <c r="B64" s="1" t="s">
        <v>182</v>
      </c>
      <c r="C64" s="1">
        <v>2017</v>
      </c>
      <c r="D64" s="1" t="s">
        <v>183</v>
      </c>
      <c r="E64" s="1" t="s">
        <v>190</v>
      </c>
      <c r="F64" s="1" t="s">
        <v>196</v>
      </c>
      <c r="G64" s="1">
        <v>2024</v>
      </c>
      <c r="H64" s="1" t="s">
        <v>197</v>
      </c>
      <c r="I64" s="1">
        <v>560000</v>
      </c>
      <c r="J64" s="23">
        <v>2</v>
      </c>
      <c r="K64" s="1">
        <f t="shared" si="3"/>
        <v>4310000</v>
      </c>
      <c r="L64" s="1">
        <v>113427</v>
      </c>
      <c r="M64" s="23">
        <v>1.95</v>
      </c>
      <c r="N64" s="1">
        <v>100.255</v>
      </c>
    </row>
    <row r="65" spans="1:14" x14ac:dyDescent="0.3">
      <c r="A65" s="20" t="s">
        <v>181</v>
      </c>
      <c r="B65" s="1" t="s">
        <v>182</v>
      </c>
      <c r="C65" s="1">
        <v>2017</v>
      </c>
      <c r="D65" s="1" t="s">
        <v>183</v>
      </c>
      <c r="E65" s="1" t="s">
        <v>190</v>
      </c>
      <c r="F65" s="1" t="s">
        <v>196</v>
      </c>
      <c r="G65" s="1">
        <v>2025</v>
      </c>
      <c r="H65" s="1" t="s">
        <v>197</v>
      </c>
      <c r="I65" s="1">
        <v>570000</v>
      </c>
      <c r="J65" s="23">
        <v>2</v>
      </c>
      <c r="K65" s="1">
        <f t="shared" si="3"/>
        <v>3740000</v>
      </c>
      <c r="L65" s="1">
        <v>102128</v>
      </c>
      <c r="M65" s="23">
        <v>2.1</v>
      </c>
      <c r="N65" s="1">
        <v>99.314999999999998</v>
      </c>
    </row>
    <row r="66" spans="1:14" x14ac:dyDescent="0.3">
      <c r="A66" s="20" t="s">
        <v>181</v>
      </c>
      <c r="B66" s="1" t="s">
        <v>182</v>
      </c>
      <c r="C66" s="1">
        <v>2017</v>
      </c>
      <c r="D66" s="1" t="s">
        <v>183</v>
      </c>
      <c r="E66" s="1" t="s">
        <v>190</v>
      </c>
      <c r="F66" s="1" t="s">
        <v>196</v>
      </c>
      <c r="G66" s="1">
        <v>2026</v>
      </c>
      <c r="H66" s="1" t="s">
        <v>197</v>
      </c>
      <c r="I66" s="1">
        <v>585000</v>
      </c>
      <c r="J66" s="23">
        <v>2.15</v>
      </c>
      <c r="K66" s="1">
        <f t="shared" si="3"/>
        <v>3155000</v>
      </c>
      <c r="L66" s="1">
        <v>90139</v>
      </c>
      <c r="M66" s="23">
        <v>2.27</v>
      </c>
      <c r="N66" s="1">
        <v>99.084000000000003</v>
      </c>
    </row>
    <row r="67" spans="1:14" x14ac:dyDescent="0.3">
      <c r="A67" s="20" t="s">
        <v>181</v>
      </c>
      <c r="B67" s="1" t="s">
        <v>182</v>
      </c>
      <c r="C67" s="1">
        <v>2017</v>
      </c>
      <c r="D67" s="1" t="s">
        <v>183</v>
      </c>
      <c r="E67" s="1" t="s">
        <v>190</v>
      </c>
      <c r="F67" s="1" t="s">
        <v>196</v>
      </c>
      <c r="G67" s="1">
        <v>2027</v>
      </c>
      <c r="H67" s="1" t="s">
        <v>197</v>
      </c>
      <c r="I67" s="1">
        <v>600000</v>
      </c>
      <c r="J67" s="23">
        <v>2.375</v>
      </c>
      <c r="K67" s="1">
        <f t="shared" si="3"/>
        <v>2555000</v>
      </c>
      <c r="L67" s="1">
        <v>76725</v>
      </c>
      <c r="M67" s="23">
        <v>2.4700000000000002</v>
      </c>
      <c r="N67" s="1">
        <v>99.203999999999994</v>
      </c>
    </row>
    <row r="68" spans="1:14" x14ac:dyDescent="0.3">
      <c r="A68" s="20" t="s">
        <v>181</v>
      </c>
      <c r="B68" s="1" t="s">
        <v>182</v>
      </c>
      <c r="C68" s="1">
        <v>2017</v>
      </c>
      <c r="D68" s="1" t="s">
        <v>183</v>
      </c>
      <c r="E68" s="1" t="s">
        <v>190</v>
      </c>
      <c r="F68" s="1" t="s">
        <v>196</v>
      </c>
      <c r="G68" s="1">
        <v>2028</v>
      </c>
      <c r="H68" s="1" t="s">
        <v>197</v>
      </c>
      <c r="I68" s="1">
        <v>615000</v>
      </c>
      <c r="J68" s="23">
        <v>2.5</v>
      </c>
      <c r="K68" s="1">
        <f t="shared" si="3"/>
        <v>1940000</v>
      </c>
      <c r="L68" s="1">
        <v>61912</v>
      </c>
      <c r="M68" s="23">
        <v>2.62</v>
      </c>
      <c r="N68" s="1">
        <v>98.91</v>
      </c>
    </row>
    <row r="69" spans="1:14" x14ac:dyDescent="0.3">
      <c r="A69" s="20" t="s">
        <v>181</v>
      </c>
      <c r="B69" s="1" t="s">
        <v>182</v>
      </c>
      <c r="C69" s="1">
        <v>2017</v>
      </c>
      <c r="D69" s="1" t="s">
        <v>183</v>
      </c>
      <c r="E69" s="1" t="s">
        <v>190</v>
      </c>
      <c r="F69" s="1" t="s">
        <v>196</v>
      </c>
      <c r="G69" s="1">
        <v>2029</v>
      </c>
      <c r="H69" s="1" t="s">
        <v>197</v>
      </c>
      <c r="I69" s="1">
        <v>630000</v>
      </c>
      <c r="J69" s="23">
        <v>2.625</v>
      </c>
      <c r="K69" s="1">
        <f t="shared" si="3"/>
        <v>1310000</v>
      </c>
      <c r="L69" s="1">
        <v>45956</v>
      </c>
      <c r="M69" s="23">
        <v>2.75</v>
      </c>
      <c r="N69" s="1">
        <v>98.78</v>
      </c>
    </row>
    <row r="70" spans="1:14" x14ac:dyDescent="0.3">
      <c r="A70" s="20" t="s">
        <v>181</v>
      </c>
      <c r="B70" s="1" t="s">
        <v>182</v>
      </c>
      <c r="C70" s="1">
        <v>2017</v>
      </c>
      <c r="D70" s="1" t="s">
        <v>183</v>
      </c>
      <c r="E70" s="1" t="s">
        <v>190</v>
      </c>
      <c r="F70" s="1" t="s">
        <v>196</v>
      </c>
      <c r="G70" s="1">
        <v>2030</v>
      </c>
      <c r="H70" s="1" t="s">
        <v>197</v>
      </c>
      <c r="I70" s="1">
        <v>645000</v>
      </c>
      <c r="J70" s="23">
        <v>2.75</v>
      </c>
      <c r="K70" s="1">
        <f t="shared" si="3"/>
        <v>665000</v>
      </c>
      <c r="L70" s="1">
        <v>28819</v>
      </c>
      <c r="M70" s="23">
        <v>2.9</v>
      </c>
      <c r="N70" s="1">
        <v>98.442999999999998</v>
      </c>
    </row>
    <row r="71" spans="1:14" x14ac:dyDescent="0.3">
      <c r="A71" s="20" t="s">
        <v>181</v>
      </c>
      <c r="B71" s="1" t="s">
        <v>182</v>
      </c>
      <c r="C71" s="1">
        <v>2017</v>
      </c>
      <c r="D71" s="1" t="s">
        <v>183</v>
      </c>
      <c r="E71" s="1" t="s">
        <v>190</v>
      </c>
      <c r="F71" s="1" t="s">
        <v>196</v>
      </c>
      <c r="G71" s="1">
        <v>2031</v>
      </c>
      <c r="H71" s="1" t="s">
        <v>197</v>
      </c>
      <c r="I71" s="1">
        <v>665000</v>
      </c>
      <c r="J71" s="23">
        <v>3</v>
      </c>
      <c r="K71" s="1">
        <f t="shared" si="3"/>
        <v>0</v>
      </c>
      <c r="L71" s="1">
        <v>9975</v>
      </c>
      <c r="M71" s="23">
        <v>3</v>
      </c>
      <c r="N71" s="1">
        <v>99.233000000000004</v>
      </c>
    </row>
    <row r="72" spans="1:14" x14ac:dyDescent="0.3">
      <c r="A72" s="20" t="s">
        <v>181</v>
      </c>
      <c r="B72" s="1" t="s">
        <v>182</v>
      </c>
      <c r="C72" s="1">
        <v>1992</v>
      </c>
      <c r="D72" s="1" t="s">
        <v>381</v>
      </c>
      <c r="E72" s="1" t="s">
        <v>190</v>
      </c>
      <c r="F72" s="1" t="s">
        <v>196</v>
      </c>
      <c r="G72" s="1">
        <v>1993</v>
      </c>
      <c r="H72" s="1" t="s">
        <v>199</v>
      </c>
      <c r="I72" s="1">
        <v>235000</v>
      </c>
      <c r="J72" s="1">
        <v>2.7</v>
      </c>
      <c r="K72" s="1">
        <f>2885000-I72</f>
        <v>2650000</v>
      </c>
      <c r="L72" s="1">
        <v>110115</v>
      </c>
      <c r="M72" s="1">
        <v>2.7</v>
      </c>
      <c r="N72" s="1">
        <v>100</v>
      </c>
    </row>
    <row r="73" spans="1:14" x14ac:dyDescent="0.3">
      <c r="A73" s="20" t="s">
        <v>181</v>
      </c>
      <c r="B73" s="1" t="s">
        <v>182</v>
      </c>
      <c r="C73" s="1">
        <v>1992</v>
      </c>
      <c r="D73" s="1" t="s">
        <v>381</v>
      </c>
      <c r="E73" s="1" t="s">
        <v>190</v>
      </c>
      <c r="F73" s="1" t="s">
        <v>196</v>
      </c>
      <c r="G73" s="1">
        <v>1994</v>
      </c>
      <c r="H73" s="1" t="s">
        <v>199</v>
      </c>
      <c r="I73" s="1">
        <v>210000</v>
      </c>
      <c r="J73" s="1">
        <v>3.2</v>
      </c>
      <c r="K73" s="1">
        <f>K72-I73</f>
        <v>2440000</v>
      </c>
      <c r="L73" s="1">
        <v>125793</v>
      </c>
      <c r="M73" s="1">
        <v>3.2</v>
      </c>
      <c r="N73" s="1">
        <v>100</v>
      </c>
    </row>
    <row r="74" spans="1:14" x14ac:dyDescent="0.3">
      <c r="A74" s="20" t="s">
        <v>181</v>
      </c>
      <c r="B74" s="1" t="s">
        <v>182</v>
      </c>
      <c r="C74" s="1">
        <v>1992</v>
      </c>
      <c r="D74" s="1" t="s">
        <v>381</v>
      </c>
      <c r="E74" s="1" t="s">
        <v>190</v>
      </c>
      <c r="F74" s="1" t="s">
        <v>196</v>
      </c>
      <c r="G74" s="1">
        <v>1995</v>
      </c>
      <c r="H74" s="1" t="s">
        <v>199</v>
      </c>
      <c r="I74" s="1">
        <v>215000</v>
      </c>
      <c r="J74" s="1">
        <v>3.8</v>
      </c>
      <c r="K74" s="1">
        <f t="shared" ref="K74:K83" si="4">K73-I74</f>
        <v>2225000</v>
      </c>
      <c r="L74" s="1">
        <v>119073</v>
      </c>
      <c r="M74" s="1">
        <v>3.8</v>
      </c>
      <c r="N74" s="1">
        <v>100</v>
      </c>
    </row>
    <row r="75" spans="1:14" x14ac:dyDescent="0.3">
      <c r="A75" s="20" t="s">
        <v>181</v>
      </c>
      <c r="B75" s="1" t="s">
        <v>182</v>
      </c>
      <c r="C75" s="1">
        <v>1992</v>
      </c>
      <c r="D75" s="1" t="s">
        <v>381</v>
      </c>
      <c r="E75" s="1" t="s">
        <v>190</v>
      </c>
      <c r="F75" s="1" t="s">
        <v>196</v>
      </c>
      <c r="G75" s="1">
        <v>1996</v>
      </c>
      <c r="H75" s="1" t="s">
        <v>199</v>
      </c>
      <c r="I75" s="1">
        <v>225000</v>
      </c>
      <c r="J75" s="1">
        <v>4</v>
      </c>
      <c r="K75" s="1">
        <f t="shared" si="4"/>
        <v>2000000</v>
      </c>
      <c r="L75" s="1">
        <v>110903</v>
      </c>
      <c r="M75" s="1">
        <v>4</v>
      </c>
      <c r="N75" s="1">
        <v>100</v>
      </c>
    </row>
    <row r="76" spans="1:14" x14ac:dyDescent="0.3">
      <c r="A76" s="20" t="s">
        <v>181</v>
      </c>
      <c r="B76" s="1" t="s">
        <v>182</v>
      </c>
      <c r="C76" s="1">
        <v>1992</v>
      </c>
      <c r="D76" s="1" t="s">
        <v>381</v>
      </c>
      <c r="E76" s="1" t="s">
        <v>190</v>
      </c>
      <c r="F76" s="1" t="s">
        <v>196</v>
      </c>
      <c r="G76" s="1">
        <v>1997</v>
      </c>
      <c r="H76" s="1" t="s">
        <v>199</v>
      </c>
      <c r="I76" s="1">
        <v>230000</v>
      </c>
      <c r="J76" s="1">
        <v>4.4000000000000004</v>
      </c>
      <c r="K76" s="1">
        <f t="shared" si="4"/>
        <v>1770000</v>
      </c>
      <c r="L76" s="1">
        <v>101903</v>
      </c>
      <c r="M76" s="1">
        <v>4.4000000000000004</v>
      </c>
      <c r="N76" s="1">
        <v>100</v>
      </c>
    </row>
    <row r="77" spans="1:14" x14ac:dyDescent="0.3">
      <c r="A77" s="20" t="s">
        <v>181</v>
      </c>
      <c r="B77" s="1" t="s">
        <v>182</v>
      </c>
      <c r="C77" s="1">
        <v>1992</v>
      </c>
      <c r="D77" s="1" t="s">
        <v>381</v>
      </c>
      <c r="E77" s="1" t="s">
        <v>190</v>
      </c>
      <c r="F77" s="1" t="s">
        <v>196</v>
      </c>
      <c r="G77" s="1">
        <v>1998</v>
      </c>
      <c r="H77" s="1" t="s">
        <v>199</v>
      </c>
      <c r="I77" s="1">
        <v>240000</v>
      </c>
      <c r="J77" s="1">
        <v>4.7</v>
      </c>
      <c r="K77" s="1">
        <f t="shared" si="4"/>
        <v>1530000</v>
      </c>
      <c r="L77" s="1">
        <v>91783</v>
      </c>
      <c r="M77" s="1">
        <v>4.7</v>
      </c>
      <c r="N77" s="1">
        <v>100</v>
      </c>
    </row>
    <row r="78" spans="1:14" x14ac:dyDescent="0.3">
      <c r="A78" s="20" t="s">
        <v>181</v>
      </c>
      <c r="B78" s="1" t="s">
        <v>182</v>
      </c>
      <c r="C78" s="1">
        <v>1992</v>
      </c>
      <c r="D78" s="1" t="s">
        <v>381</v>
      </c>
      <c r="E78" s="1" t="s">
        <v>190</v>
      </c>
      <c r="F78" s="1" t="s">
        <v>196</v>
      </c>
      <c r="G78" s="1">
        <v>1999</v>
      </c>
      <c r="H78" s="1" t="s">
        <v>199</v>
      </c>
      <c r="I78" s="1">
        <v>255000</v>
      </c>
      <c r="J78" s="1">
        <v>5</v>
      </c>
      <c r="K78" s="1">
        <f t="shared" si="4"/>
        <v>1275000</v>
      </c>
      <c r="L78" s="1">
        <v>80503</v>
      </c>
      <c r="M78" s="1">
        <v>5</v>
      </c>
      <c r="N78" s="1">
        <v>100</v>
      </c>
    </row>
    <row r="79" spans="1:14" x14ac:dyDescent="0.3">
      <c r="A79" s="20" t="s">
        <v>181</v>
      </c>
      <c r="B79" s="1" t="s">
        <v>182</v>
      </c>
      <c r="C79" s="1">
        <v>1992</v>
      </c>
      <c r="D79" s="1" t="s">
        <v>381</v>
      </c>
      <c r="E79" s="1" t="s">
        <v>190</v>
      </c>
      <c r="F79" s="1" t="s">
        <v>196</v>
      </c>
      <c r="G79" s="1">
        <v>2000</v>
      </c>
      <c r="H79" s="1" t="s">
        <v>199</v>
      </c>
      <c r="I79" s="1">
        <v>270000</v>
      </c>
      <c r="J79" s="1">
        <v>5</v>
      </c>
      <c r="K79" s="1">
        <f t="shared" si="4"/>
        <v>1005000</v>
      </c>
      <c r="L79" s="1">
        <v>67753</v>
      </c>
      <c r="M79" s="1">
        <v>5.0999999999999996</v>
      </c>
      <c r="N79" s="1">
        <v>99.358000000000004</v>
      </c>
    </row>
    <row r="80" spans="1:14" x14ac:dyDescent="0.3">
      <c r="A80" s="20" t="s">
        <v>181</v>
      </c>
      <c r="B80" s="1" t="s">
        <v>182</v>
      </c>
      <c r="C80" s="1">
        <v>1992</v>
      </c>
      <c r="D80" s="1" t="s">
        <v>381</v>
      </c>
      <c r="E80" s="1" t="s">
        <v>190</v>
      </c>
      <c r="F80" s="1" t="s">
        <v>196</v>
      </c>
      <c r="G80" s="1">
        <v>2001</v>
      </c>
      <c r="H80" s="1" t="s">
        <v>199</v>
      </c>
      <c r="I80" s="1">
        <v>280000</v>
      </c>
      <c r="J80" s="1">
        <v>5.25</v>
      </c>
      <c r="K80" s="1">
        <f t="shared" si="4"/>
        <v>725000</v>
      </c>
      <c r="L80" s="1">
        <v>54253</v>
      </c>
      <c r="M80" s="1">
        <v>5.3</v>
      </c>
      <c r="N80" s="1">
        <v>99.644000000000005</v>
      </c>
    </row>
    <row r="81" spans="1:14" x14ac:dyDescent="0.3">
      <c r="A81" s="20" t="s">
        <v>181</v>
      </c>
      <c r="B81" s="1" t="s">
        <v>182</v>
      </c>
      <c r="C81" s="1">
        <v>1992</v>
      </c>
      <c r="D81" s="1" t="s">
        <v>381</v>
      </c>
      <c r="E81" s="1" t="s">
        <v>190</v>
      </c>
      <c r="F81" s="1" t="s">
        <v>196</v>
      </c>
      <c r="G81" s="1">
        <v>2002</v>
      </c>
      <c r="H81" s="1" t="s">
        <v>199</v>
      </c>
      <c r="I81" s="1">
        <v>295000</v>
      </c>
      <c r="J81" s="1">
        <v>5.35</v>
      </c>
      <c r="K81" s="1">
        <f t="shared" si="4"/>
        <v>430000</v>
      </c>
      <c r="L81" s="1">
        <v>39553</v>
      </c>
      <c r="M81" s="1">
        <v>5.45</v>
      </c>
      <c r="N81" s="1">
        <v>99.242000000000004</v>
      </c>
    </row>
    <row r="82" spans="1:14" x14ac:dyDescent="0.3">
      <c r="A82" s="20" t="s">
        <v>181</v>
      </c>
      <c r="B82" s="1" t="s">
        <v>182</v>
      </c>
      <c r="C82" s="1">
        <v>1992</v>
      </c>
      <c r="D82" s="1" t="s">
        <v>381</v>
      </c>
      <c r="E82" s="1" t="s">
        <v>190</v>
      </c>
      <c r="F82" s="1" t="s">
        <v>196</v>
      </c>
      <c r="G82" s="1">
        <v>2003</v>
      </c>
      <c r="H82" s="1" t="s">
        <v>199</v>
      </c>
      <c r="I82" s="1">
        <v>310000</v>
      </c>
      <c r="J82" s="1">
        <v>5.5</v>
      </c>
      <c r="K82" s="1">
        <f t="shared" si="4"/>
        <v>120000</v>
      </c>
      <c r="L82" s="1">
        <v>23770</v>
      </c>
      <c r="M82" s="1">
        <v>5.6</v>
      </c>
      <c r="N82" s="1">
        <v>99.19</v>
      </c>
    </row>
    <row r="83" spans="1:14" x14ac:dyDescent="0.3">
      <c r="A83" s="20" t="s">
        <v>181</v>
      </c>
      <c r="B83" s="1" t="s">
        <v>182</v>
      </c>
      <c r="C83" s="1">
        <v>1992</v>
      </c>
      <c r="D83" s="1" t="s">
        <v>381</v>
      </c>
      <c r="E83" s="1" t="s">
        <v>190</v>
      </c>
      <c r="F83" s="1" t="s">
        <v>196</v>
      </c>
      <c r="G83" s="1">
        <v>2004</v>
      </c>
      <c r="H83" s="1" t="s">
        <v>199</v>
      </c>
      <c r="I83" s="1">
        <v>120000</v>
      </c>
      <c r="J83" s="1">
        <v>5.6</v>
      </c>
      <c r="K83" s="1">
        <f t="shared" si="4"/>
        <v>0</v>
      </c>
      <c r="L83" s="1">
        <v>6720</v>
      </c>
      <c r="M83" s="1">
        <v>5.65</v>
      </c>
      <c r="N83" s="1">
        <v>99.563999999999993</v>
      </c>
    </row>
    <row r="84" spans="1:14" x14ac:dyDescent="0.3">
      <c r="A84" s="20" t="s">
        <v>181</v>
      </c>
      <c r="B84" s="1" t="s">
        <v>182</v>
      </c>
      <c r="C84" s="1">
        <v>2002</v>
      </c>
      <c r="D84" s="1" t="s">
        <v>381</v>
      </c>
      <c r="E84" s="1" t="s">
        <v>190</v>
      </c>
      <c r="F84" s="1" t="s">
        <v>196</v>
      </c>
      <c r="G84" s="1">
        <v>2002</v>
      </c>
      <c r="H84" s="1" t="s">
        <v>200</v>
      </c>
      <c r="I84" s="1">
        <v>15000</v>
      </c>
      <c r="J84" s="1">
        <v>2.15</v>
      </c>
      <c r="K84" s="1">
        <f>7975000-I84</f>
        <v>7960000</v>
      </c>
      <c r="L84" s="1">
        <v>321154</v>
      </c>
      <c r="M84" s="65" t="s">
        <v>194</v>
      </c>
      <c r="N84" s="1">
        <v>100</v>
      </c>
    </row>
    <row r="85" spans="1:14" x14ac:dyDescent="0.3">
      <c r="A85" s="20" t="s">
        <v>181</v>
      </c>
      <c r="B85" s="1" t="s">
        <v>182</v>
      </c>
      <c r="C85" s="1">
        <v>2002</v>
      </c>
      <c r="D85" s="1" t="s">
        <v>381</v>
      </c>
      <c r="E85" s="1" t="s">
        <v>190</v>
      </c>
      <c r="F85" s="1" t="s">
        <v>196</v>
      </c>
      <c r="G85" s="1">
        <v>2003</v>
      </c>
      <c r="H85" s="1" t="s">
        <v>200</v>
      </c>
      <c r="I85" s="1">
        <v>295000</v>
      </c>
      <c r="J85" s="1">
        <v>2.4</v>
      </c>
      <c r="K85" s="1">
        <f>K84-I85</f>
        <v>7665000</v>
      </c>
      <c r="L85" s="1">
        <v>350028</v>
      </c>
      <c r="M85" s="65" t="s">
        <v>194</v>
      </c>
      <c r="N85" s="1">
        <v>99.908000000000001</v>
      </c>
    </row>
    <row r="86" spans="1:14" x14ac:dyDescent="0.3">
      <c r="A86" s="20" t="s">
        <v>181</v>
      </c>
      <c r="B86" s="1" t="s">
        <v>182</v>
      </c>
      <c r="C86" s="1">
        <v>2002</v>
      </c>
      <c r="D86" s="1" t="s">
        <v>381</v>
      </c>
      <c r="E86" s="1" t="s">
        <v>190</v>
      </c>
      <c r="F86" s="1" t="s">
        <v>196</v>
      </c>
      <c r="G86" s="1">
        <v>2004</v>
      </c>
      <c r="H86" s="1" t="s">
        <v>200</v>
      </c>
      <c r="I86" s="1">
        <v>300000</v>
      </c>
      <c r="J86" s="1">
        <v>2.85</v>
      </c>
      <c r="K86" s="1">
        <f t="shared" ref="K86:K103" si="5">K85-I86</f>
        <v>7365000</v>
      </c>
      <c r="L86" s="1">
        <v>342947</v>
      </c>
      <c r="M86" s="65" t="s">
        <v>194</v>
      </c>
      <c r="N86" s="1">
        <v>99.861000000000004</v>
      </c>
    </row>
    <row r="87" spans="1:14" x14ac:dyDescent="0.3">
      <c r="A87" s="20" t="s">
        <v>181</v>
      </c>
      <c r="B87" s="1" t="s">
        <v>182</v>
      </c>
      <c r="C87" s="1">
        <v>2002</v>
      </c>
      <c r="D87" s="1" t="s">
        <v>381</v>
      </c>
      <c r="E87" s="1" t="s">
        <v>190</v>
      </c>
      <c r="F87" s="1" t="s">
        <v>196</v>
      </c>
      <c r="G87" s="1">
        <v>2005</v>
      </c>
      <c r="H87" s="1" t="s">
        <v>200</v>
      </c>
      <c r="I87" s="1">
        <v>310000</v>
      </c>
      <c r="J87" s="1">
        <v>3.2</v>
      </c>
      <c r="K87" s="1">
        <f t="shared" si="5"/>
        <v>7055000</v>
      </c>
      <c r="L87" s="1">
        <v>334398</v>
      </c>
      <c r="M87" s="65" t="s">
        <v>194</v>
      </c>
      <c r="N87" s="1">
        <v>99.816999999999993</v>
      </c>
    </row>
    <row r="88" spans="1:14" x14ac:dyDescent="0.3">
      <c r="A88" s="20" t="s">
        <v>181</v>
      </c>
      <c r="B88" s="1" t="s">
        <v>182</v>
      </c>
      <c r="C88" s="1">
        <v>2002</v>
      </c>
      <c r="D88" s="1" t="s">
        <v>381</v>
      </c>
      <c r="E88" s="1" t="s">
        <v>190</v>
      </c>
      <c r="F88" s="1" t="s">
        <v>196</v>
      </c>
      <c r="G88" s="1">
        <v>2006</v>
      </c>
      <c r="H88" s="1" t="s">
        <v>200</v>
      </c>
      <c r="I88" s="1">
        <v>320000</v>
      </c>
      <c r="J88" s="1">
        <v>3.5</v>
      </c>
      <c r="K88" s="1">
        <f t="shared" si="5"/>
        <v>6735000</v>
      </c>
      <c r="L88" s="1">
        <v>324477</v>
      </c>
      <c r="M88" s="65" t="s">
        <v>194</v>
      </c>
      <c r="N88" s="1">
        <v>99.775000000000006</v>
      </c>
    </row>
    <row r="89" spans="1:14" x14ac:dyDescent="0.3">
      <c r="A89" s="20" t="s">
        <v>181</v>
      </c>
      <c r="B89" s="1" t="s">
        <v>182</v>
      </c>
      <c r="C89" s="1">
        <v>2002</v>
      </c>
      <c r="D89" s="1" t="s">
        <v>381</v>
      </c>
      <c r="E89" s="1" t="s">
        <v>190</v>
      </c>
      <c r="F89" s="1" t="s">
        <v>196</v>
      </c>
      <c r="G89" s="1">
        <v>2007</v>
      </c>
      <c r="H89" s="1" t="s">
        <v>200</v>
      </c>
      <c r="I89" s="1">
        <v>330000</v>
      </c>
      <c r="J89" s="1">
        <v>3.75</v>
      </c>
      <c r="K89" s="1">
        <f t="shared" si="5"/>
        <v>6405000</v>
      </c>
      <c r="L89" s="1">
        <v>313278</v>
      </c>
      <c r="M89" s="65" t="s">
        <v>194</v>
      </c>
      <c r="N89" s="1">
        <v>99.736000000000004</v>
      </c>
    </row>
    <row r="90" spans="1:14" x14ac:dyDescent="0.3">
      <c r="A90" s="20" t="s">
        <v>181</v>
      </c>
      <c r="B90" s="1" t="s">
        <v>182</v>
      </c>
      <c r="C90" s="1">
        <v>2002</v>
      </c>
      <c r="D90" s="1" t="s">
        <v>381</v>
      </c>
      <c r="E90" s="1" t="s">
        <v>190</v>
      </c>
      <c r="F90" s="1" t="s">
        <v>196</v>
      </c>
      <c r="G90" s="1">
        <v>2008</v>
      </c>
      <c r="H90" s="1" t="s">
        <v>200</v>
      </c>
      <c r="I90" s="1">
        <v>340000</v>
      </c>
      <c r="J90" s="1">
        <v>4</v>
      </c>
      <c r="K90" s="1">
        <f t="shared" si="5"/>
        <v>6065000</v>
      </c>
      <c r="L90" s="1">
        <v>300903</v>
      </c>
      <c r="M90" s="65" t="s">
        <v>194</v>
      </c>
      <c r="N90" s="1">
        <v>99.698999999999998</v>
      </c>
    </row>
    <row r="91" spans="1:14" x14ac:dyDescent="0.3">
      <c r="A91" s="20" t="s">
        <v>181</v>
      </c>
      <c r="B91" s="1" t="s">
        <v>182</v>
      </c>
      <c r="C91" s="1">
        <v>2002</v>
      </c>
      <c r="D91" s="1" t="s">
        <v>381</v>
      </c>
      <c r="E91" s="1" t="s">
        <v>190</v>
      </c>
      <c r="F91" s="1" t="s">
        <v>196</v>
      </c>
      <c r="G91" s="1">
        <v>2009</v>
      </c>
      <c r="H91" s="1" t="s">
        <v>200</v>
      </c>
      <c r="I91" s="1">
        <v>355000</v>
      </c>
      <c r="J91" s="1">
        <v>4.1500000000000004</v>
      </c>
      <c r="K91" s="1">
        <f t="shared" si="5"/>
        <v>5710000</v>
      </c>
      <c r="L91" s="1">
        <v>287302</v>
      </c>
      <c r="M91" s="65" t="s">
        <v>194</v>
      </c>
      <c r="N91" s="1">
        <v>99.662999999999997</v>
      </c>
    </row>
    <row r="92" spans="1:14" x14ac:dyDescent="0.3">
      <c r="A92" s="20" t="s">
        <v>181</v>
      </c>
      <c r="B92" s="1" t="s">
        <v>182</v>
      </c>
      <c r="C92" s="1">
        <v>2002</v>
      </c>
      <c r="D92" s="1" t="s">
        <v>381</v>
      </c>
      <c r="E92" s="1" t="s">
        <v>190</v>
      </c>
      <c r="F92" s="1" t="s">
        <v>196</v>
      </c>
      <c r="G92" s="1">
        <v>2010</v>
      </c>
      <c r="H92" s="1" t="s">
        <v>200</v>
      </c>
      <c r="I92" s="1">
        <v>370000</v>
      </c>
      <c r="J92" s="1">
        <v>4.25</v>
      </c>
      <c r="K92" s="1">
        <f t="shared" si="5"/>
        <v>5340000</v>
      </c>
      <c r="L92" s="1">
        <v>272570</v>
      </c>
      <c r="M92" s="65" t="s">
        <v>194</v>
      </c>
      <c r="N92" s="1">
        <v>99.63</v>
      </c>
    </row>
    <row r="93" spans="1:14" x14ac:dyDescent="0.3">
      <c r="A93" s="20" t="s">
        <v>181</v>
      </c>
      <c r="B93" s="1" t="s">
        <v>182</v>
      </c>
      <c r="C93" s="1">
        <v>2002</v>
      </c>
      <c r="D93" s="1" t="s">
        <v>381</v>
      </c>
      <c r="E93" s="1" t="s">
        <v>190</v>
      </c>
      <c r="F93" s="1" t="s">
        <v>196</v>
      </c>
      <c r="G93" s="1">
        <v>2011</v>
      </c>
      <c r="H93" s="1" t="s">
        <v>200</v>
      </c>
      <c r="I93" s="1">
        <v>385000</v>
      </c>
      <c r="J93" s="1">
        <v>4.3</v>
      </c>
      <c r="K93" s="1">
        <f t="shared" si="5"/>
        <v>4955000</v>
      </c>
      <c r="L93" s="1">
        <v>256845</v>
      </c>
      <c r="M93" s="65" t="s">
        <v>194</v>
      </c>
      <c r="N93" s="1">
        <v>99.596999999999994</v>
      </c>
    </row>
    <row r="94" spans="1:14" x14ac:dyDescent="0.3">
      <c r="A94" s="20" t="s">
        <v>181</v>
      </c>
      <c r="B94" s="1" t="s">
        <v>182</v>
      </c>
      <c r="C94" s="1">
        <v>2002</v>
      </c>
      <c r="D94" s="1" t="s">
        <v>381</v>
      </c>
      <c r="E94" s="1" t="s">
        <v>190</v>
      </c>
      <c r="F94" s="1" t="s">
        <v>196</v>
      </c>
      <c r="G94" s="1">
        <v>2012</v>
      </c>
      <c r="H94" s="1" t="s">
        <v>200</v>
      </c>
      <c r="I94" s="1">
        <v>400000</v>
      </c>
      <c r="J94" s="1">
        <v>4.45</v>
      </c>
      <c r="K94" s="1">
        <f t="shared" si="5"/>
        <v>4555000</v>
      </c>
      <c r="L94" s="1">
        <v>240290</v>
      </c>
      <c r="M94" s="65" t="s">
        <v>194</v>
      </c>
      <c r="N94" s="1">
        <v>99.569000000000003</v>
      </c>
    </row>
    <row r="95" spans="1:14" x14ac:dyDescent="0.3">
      <c r="A95" s="20" t="s">
        <v>181</v>
      </c>
      <c r="B95" s="1" t="s">
        <v>182</v>
      </c>
      <c r="C95" s="1">
        <v>2002</v>
      </c>
      <c r="D95" s="1" t="s">
        <v>381</v>
      </c>
      <c r="E95" s="1" t="s">
        <v>190</v>
      </c>
      <c r="F95" s="1" t="s">
        <v>196</v>
      </c>
      <c r="G95" s="1">
        <v>2013</v>
      </c>
      <c r="H95" s="1" t="s">
        <v>200</v>
      </c>
      <c r="I95" s="1">
        <v>415000</v>
      </c>
      <c r="J95" s="1">
        <v>4.5</v>
      </c>
      <c r="K95" s="1">
        <f t="shared" si="5"/>
        <v>4140000</v>
      </c>
      <c r="L95" s="1">
        <v>222490</v>
      </c>
      <c r="M95" s="65" t="s">
        <v>194</v>
      </c>
      <c r="N95" s="1">
        <v>99.087999999999994</v>
      </c>
    </row>
    <row r="96" spans="1:14" x14ac:dyDescent="0.3">
      <c r="A96" s="20" t="s">
        <v>181</v>
      </c>
      <c r="B96" s="1" t="s">
        <v>182</v>
      </c>
      <c r="C96" s="1">
        <v>2002</v>
      </c>
      <c r="D96" s="1" t="s">
        <v>381</v>
      </c>
      <c r="E96" s="1" t="s">
        <v>190</v>
      </c>
      <c r="F96" s="1" t="s">
        <v>489</v>
      </c>
      <c r="G96" s="1">
        <v>2014</v>
      </c>
      <c r="H96" s="1" t="s">
        <v>200</v>
      </c>
      <c r="I96" s="1">
        <v>435000</v>
      </c>
      <c r="J96" s="1">
        <v>4.75</v>
      </c>
      <c r="K96" s="1">
        <f t="shared" si="5"/>
        <v>3705000</v>
      </c>
      <c r="L96" s="1">
        <v>203815</v>
      </c>
      <c r="M96" s="65" t="s">
        <v>194</v>
      </c>
      <c r="N96" s="1">
        <v>99.793000000000006</v>
      </c>
    </row>
    <row r="97" spans="1:14" x14ac:dyDescent="0.3">
      <c r="A97" s="20" t="s">
        <v>181</v>
      </c>
      <c r="B97" s="1" t="s">
        <v>182</v>
      </c>
      <c r="C97" s="1">
        <v>2002</v>
      </c>
      <c r="D97" s="1" t="s">
        <v>381</v>
      </c>
      <c r="E97" s="1" t="s">
        <v>190</v>
      </c>
      <c r="F97" s="1" t="s">
        <v>489</v>
      </c>
      <c r="G97" s="1">
        <v>2015</v>
      </c>
      <c r="H97" s="1" t="s">
        <v>200</v>
      </c>
      <c r="I97" s="1">
        <v>455000</v>
      </c>
      <c r="J97" s="1">
        <v>4.75</v>
      </c>
      <c r="K97" s="1">
        <f t="shared" si="5"/>
        <v>3250000</v>
      </c>
      <c r="L97" s="1">
        <v>183153</v>
      </c>
      <c r="M97" s="65" t="s">
        <v>194</v>
      </c>
      <c r="N97" s="1">
        <v>99.793000000000006</v>
      </c>
    </row>
    <row r="98" spans="1:14" x14ac:dyDescent="0.3">
      <c r="A98" s="20" t="s">
        <v>181</v>
      </c>
      <c r="B98" s="1" t="s">
        <v>182</v>
      </c>
      <c r="C98" s="1">
        <v>2002</v>
      </c>
      <c r="D98" s="1" t="s">
        <v>381</v>
      </c>
      <c r="E98" s="1" t="s">
        <v>190</v>
      </c>
      <c r="F98" s="1" t="s">
        <v>489</v>
      </c>
      <c r="G98" s="1">
        <v>2016</v>
      </c>
      <c r="H98" s="1" t="s">
        <v>200</v>
      </c>
      <c r="I98" s="1">
        <v>480000</v>
      </c>
      <c r="J98" s="1">
        <v>4.8</v>
      </c>
      <c r="K98" s="1">
        <f t="shared" si="5"/>
        <v>2770000</v>
      </c>
      <c r="L98" s="1">
        <v>161540</v>
      </c>
      <c r="M98" s="65" t="s">
        <v>194</v>
      </c>
      <c r="N98" s="1">
        <v>98.947000000000003</v>
      </c>
    </row>
    <row r="99" spans="1:14" x14ac:dyDescent="0.3">
      <c r="A99" s="20" t="s">
        <v>181</v>
      </c>
      <c r="B99" s="1" t="s">
        <v>182</v>
      </c>
      <c r="C99" s="1">
        <v>2002</v>
      </c>
      <c r="D99" s="1" t="s">
        <v>381</v>
      </c>
      <c r="E99" s="1" t="s">
        <v>190</v>
      </c>
      <c r="F99" s="1" t="s">
        <v>489</v>
      </c>
      <c r="G99" s="1">
        <v>2017</v>
      </c>
      <c r="H99" s="1" t="s">
        <v>200</v>
      </c>
      <c r="I99" s="1">
        <v>500000</v>
      </c>
      <c r="J99" s="1">
        <v>5</v>
      </c>
      <c r="K99" s="1">
        <f t="shared" si="5"/>
        <v>2270000</v>
      </c>
      <c r="L99" s="1">
        <v>138500</v>
      </c>
      <c r="M99" s="65" t="s">
        <v>194</v>
      </c>
      <c r="N99" s="1">
        <v>100</v>
      </c>
    </row>
    <row r="100" spans="1:14" x14ac:dyDescent="0.3">
      <c r="A100" s="20" t="s">
        <v>181</v>
      </c>
      <c r="B100" s="1" t="s">
        <v>182</v>
      </c>
      <c r="C100" s="1">
        <v>2002</v>
      </c>
      <c r="D100" s="1" t="s">
        <v>381</v>
      </c>
      <c r="E100" s="1" t="s">
        <v>190</v>
      </c>
      <c r="F100" s="1" t="s">
        <v>489</v>
      </c>
      <c r="G100" s="1">
        <v>2018</v>
      </c>
      <c r="H100" s="1" t="s">
        <v>200</v>
      </c>
      <c r="I100" s="1">
        <v>525000</v>
      </c>
      <c r="J100" s="1">
        <v>5</v>
      </c>
      <c r="K100" s="1">
        <f t="shared" si="5"/>
        <v>1745000</v>
      </c>
      <c r="L100" s="1">
        <v>113500</v>
      </c>
      <c r="M100" s="65" t="s">
        <v>194</v>
      </c>
      <c r="N100" s="1">
        <v>100</v>
      </c>
    </row>
    <row r="101" spans="1:14" x14ac:dyDescent="0.3">
      <c r="A101" s="20" t="s">
        <v>181</v>
      </c>
      <c r="B101" s="1" t="s">
        <v>182</v>
      </c>
      <c r="C101" s="1">
        <v>2002</v>
      </c>
      <c r="D101" s="1" t="s">
        <v>381</v>
      </c>
      <c r="E101" s="1" t="s">
        <v>190</v>
      </c>
      <c r="F101" s="1" t="s">
        <v>489</v>
      </c>
      <c r="G101" s="1">
        <v>2019</v>
      </c>
      <c r="H101" s="1" t="s">
        <v>200</v>
      </c>
      <c r="I101" s="1">
        <v>555000</v>
      </c>
      <c r="J101" s="1">
        <v>5</v>
      </c>
      <c r="K101" s="1">
        <f t="shared" si="5"/>
        <v>1190000</v>
      </c>
      <c r="L101" s="1">
        <v>87250</v>
      </c>
      <c r="M101" s="65" t="s">
        <v>194</v>
      </c>
      <c r="N101" s="1">
        <v>99.123000000000005</v>
      </c>
    </row>
    <row r="102" spans="1:14" x14ac:dyDescent="0.3">
      <c r="A102" s="20" t="s">
        <v>181</v>
      </c>
      <c r="B102" s="1" t="s">
        <v>182</v>
      </c>
      <c r="C102" s="1">
        <v>2002</v>
      </c>
      <c r="D102" s="1" t="s">
        <v>381</v>
      </c>
      <c r="E102" s="1" t="s">
        <v>190</v>
      </c>
      <c r="F102" s="1" t="s">
        <v>489</v>
      </c>
      <c r="G102" s="1">
        <v>2020</v>
      </c>
      <c r="H102" s="1" t="s">
        <v>200</v>
      </c>
      <c r="I102" s="1">
        <v>580000</v>
      </c>
      <c r="J102" s="1">
        <v>5</v>
      </c>
      <c r="K102" s="1">
        <f t="shared" si="5"/>
        <v>610000</v>
      </c>
      <c r="L102" s="1">
        <v>59500</v>
      </c>
      <c r="M102" s="65" t="s">
        <v>194</v>
      </c>
      <c r="N102" s="1">
        <v>99.123000000000005</v>
      </c>
    </row>
    <row r="103" spans="1:14" x14ac:dyDescent="0.3">
      <c r="A103" s="20" t="s">
        <v>181</v>
      </c>
      <c r="B103" s="1" t="s">
        <v>182</v>
      </c>
      <c r="C103" s="1">
        <v>2002</v>
      </c>
      <c r="D103" s="1" t="s">
        <v>381</v>
      </c>
      <c r="E103" s="1" t="s">
        <v>190</v>
      </c>
      <c r="F103" s="1" t="s">
        <v>196</v>
      </c>
      <c r="G103" s="1">
        <v>2021</v>
      </c>
      <c r="H103" s="1" t="s">
        <v>200</v>
      </c>
      <c r="I103" s="1">
        <v>610000</v>
      </c>
      <c r="J103" s="1">
        <v>5</v>
      </c>
      <c r="K103" s="1">
        <f t="shared" si="5"/>
        <v>0</v>
      </c>
      <c r="L103" s="1">
        <v>30500</v>
      </c>
      <c r="M103" s="65" t="s">
        <v>194</v>
      </c>
      <c r="N103" s="1">
        <v>99.123000000000005</v>
      </c>
    </row>
    <row r="104" spans="1:14" x14ac:dyDescent="0.3">
      <c r="A104" s="20" t="s">
        <v>181</v>
      </c>
      <c r="B104" s="1" t="s">
        <v>182</v>
      </c>
      <c r="C104" s="1">
        <v>2005</v>
      </c>
      <c r="D104" s="1" t="s">
        <v>381</v>
      </c>
      <c r="E104" s="1" t="s">
        <v>190</v>
      </c>
      <c r="F104" s="1" t="s">
        <v>196</v>
      </c>
      <c r="G104" s="1">
        <v>2005</v>
      </c>
      <c r="H104" s="1" t="s">
        <v>200</v>
      </c>
      <c r="I104" s="1">
        <v>300000</v>
      </c>
      <c r="J104" s="1">
        <v>2.25</v>
      </c>
      <c r="K104" s="1">
        <f>7830000-I104</f>
        <v>7530000</v>
      </c>
      <c r="L104" s="1" t="s">
        <v>194</v>
      </c>
      <c r="M104" s="1">
        <v>2.25</v>
      </c>
      <c r="N104" s="1">
        <v>100</v>
      </c>
    </row>
    <row r="105" spans="1:14" x14ac:dyDescent="0.3">
      <c r="A105" s="20" t="s">
        <v>181</v>
      </c>
      <c r="B105" s="1" t="s">
        <v>182</v>
      </c>
      <c r="C105" s="1">
        <v>2005</v>
      </c>
      <c r="D105" s="1" t="s">
        <v>381</v>
      </c>
      <c r="E105" s="1" t="s">
        <v>190</v>
      </c>
      <c r="F105" s="1" t="s">
        <v>196</v>
      </c>
      <c r="G105" s="1">
        <v>2006</v>
      </c>
      <c r="H105" s="1" t="s">
        <v>200</v>
      </c>
      <c r="I105" s="1">
        <v>370000</v>
      </c>
      <c r="J105" s="1">
        <v>2.65</v>
      </c>
      <c r="K105" s="1">
        <f>K104-I105</f>
        <v>7160000</v>
      </c>
      <c r="L105" s="1" t="s">
        <v>194</v>
      </c>
      <c r="M105" s="1">
        <v>2.65</v>
      </c>
      <c r="N105" s="1">
        <v>100</v>
      </c>
    </row>
    <row r="106" spans="1:14" x14ac:dyDescent="0.3">
      <c r="A106" s="20" t="s">
        <v>181</v>
      </c>
      <c r="B106" s="1" t="s">
        <v>182</v>
      </c>
      <c r="C106" s="1">
        <v>2005</v>
      </c>
      <c r="D106" s="1" t="s">
        <v>381</v>
      </c>
      <c r="E106" s="1" t="s">
        <v>190</v>
      </c>
      <c r="F106" s="1" t="s">
        <v>196</v>
      </c>
      <c r="G106" s="1">
        <v>2007</v>
      </c>
      <c r="H106" s="1" t="s">
        <v>200</v>
      </c>
      <c r="I106" s="1">
        <v>375000</v>
      </c>
      <c r="J106" s="1">
        <v>2.8</v>
      </c>
      <c r="K106" s="1">
        <f t="shared" ref="K106:K120" si="6">K105-I106</f>
        <v>6785000</v>
      </c>
      <c r="L106" s="1" t="s">
        <v>194</v>
      </c>
      <c r="M106" s="1">
        <v>2.85</v>
      </c>
      <c r="N106" s="1">
        <v>99.870999999999995</v>
      </c>
    </row>
    <row r="107" spans="1:14" x14ac:dyDescent="0.3">
      <c r="A107" s="20" t="s">
        <v>181</v>
      </c>
      <c r="B107" s="1" t="s">
        <v>182</v>
      </c>
      <c r="C107" s="1">
        <v>2005</v>
      </c>
      <c r="D107" s="1" t="s">
        <v>381</v>
      </c>
      <c r="E107" s="1" t="s">
        <v>190</v>
      </c>
      <c r="F107" s="1" t="s">
        <v>196</v>
      </c>
      <c r="G107" s="1">
        <v>2008</v>
      </c>
      <c r="H107" s="1" t="s">
        <v>200</v>
      </c>
      <c r="I107" s="1">
        <v>385000</v>
      </c>
      <c r="J107" s="1">
        <v>2.85</v>
      </c>
      <c r="K107" s="1">
        <f t="shared" si="6"/>
        <v>6400000</v>
      </c>
      <c r="L107" s="1" t="s">
        <v>194</v>
      </c>
      <c r="M107" s="1">
        <v>2.9</v>
      </c>
      <c r="N107" s="1">
        <v>99.825000000000003</v>
      </c>
    </row>
    <row r="108" spans="1:14" x14ac:dyDescent="0.3">
      <c r="A108" s="20" t="s">
        <v>181</v>
      </c>
      <c r="B108" s="1" t="s">
        <v>182</v>
      </c>
      <c r="C108" s="1">
        <v>2005</v>
      </c>
      <c r="D108" s="1" t="s">
        <v>381</v>
      </c>
      <c r="E108" s="1" t="s">
        <v>190</v>
      </c>
      <c r="F108" s="1" t="s">
        <v>196</v>
      </c>
      <c r="G108" s="1">
        <v>2009</v>
      </c>
      <c r="H108" s="1" t="s">
        <v>200</v>
      </c>
      <c r="I108" s="1">
        <v>400000</v>
      </c>
      <c r="J108" s="1">
        <v>3.05</v>
      </c>
      <c r="K108" s="1">
        <f t="shared" si="6"/>
        <v>6000000</v>
      </c>
      <c r="L108" s="1" t="s">
        <v>194</v>
      </c>
      <c r="M108" s="1">
        <v>3.1</v>
      </c>
      <c r="N108" s="1">
        <v>99.781999999999996</v>
      </c>
    </row>
    <row r="109" spans="1:14" x14ac:dyDescent="0.3">
      <c r="A109" s="20" t="s">
        <v>181</v>
      </c>
      <c r="B109" s="1" t="s">
        <v>182</v>
      </c>
      <c r="C109" s="1">
        <v>2005</v>
      </c>
      <c r="D109" s="1" t="s">
        <v>381</v>
      </c>
      <c r="E109" s="1" t="s">
        <v>190</v>
      </c>
      <c r="F109" s="1" t="s">
        <v>196</v>
      </c>
      <c r="G109" s="1">
        <v>2010</v>
      </c>
      <c r="H109" s="1" t="s">
        <v>200</v>
      </c>
      <c r="I109" s="1">
        <v>410000</v>
      </c>
      <c r="J109" s="1">
        <v>3.2</v>
      </c>
      <c r="K109" s="1">
        <f t="shared" si="6"/>
        <v>5590000</v>
      </c>
      <c r="L109" s="1" t="s">
        <v>194</v>
      </c>
      <c r="M109" s="1">
        <v>3.25</v>
      </c>
      <c r="N109" s="1">
        <v>99.74</v>
      </c>
    </row>
    <row r="110" spans="1:14" x14ac:dyDescent="0.3">
      <c r="A110" s="20" t="s">
        <v>181</v>
      </c>
      <c r="B110" s="1" t="s">
        <v>182</v>
      </c>
      <c r="C110" s="1">
        <v>2005</v>
      </c>
      <c r="D110" s="1" t="s">
        <v>381</v>
      </c>
      <c r="E110" s="1" t="s">
        <v>190</v>
      </c>
      <c r="F110" s="1" t="s">
        <v>196</v>
      </c>
      <c r="G110" s="1">
        <v>2011</v>
      </c>
      <c r="H110" s="1" t="s">
        <v>200</v>
      </c>
      <c r="I110" s="1">
        <v>420000</v>
      </c>
      <c r="J110" s="1">
        <v>3.4</v>
      </c>
      <c r="K110" s="1">
        <f t="shared" si="6"/>
        <v>5170000</v>
      </c>
      <c r="L110" s="1" t="s">
        <v>194</v>
      </c>
      <c r="M110" s="1">
        <v>3.45</v>
      </c>
      <c r="N110" s="1">
        <v>99.700999999999993</v>
      </c>
    </row>
    <row r="111" spans="1:14" x14ac:dyDescent="0.3">
      <c r="A111" s="20" t="s">
        <v>181</v>
      </c>
      <c r="B111" s="1" t="s">
        <v>182</v>
      </c>
      <c r="C111" s="1">
        <v>2005</v>
      </c>
      <c r="D111" s="1" t="s">
        <v>381</v>
      </c>
      <c r="E111" s="1" t="s">
        <v>190</v>
      </c>
      <c r="F111" s="1" t="s">
        <v>196</v>
      </c>
      <c r="G111" s="1">
        <v>2012</v>
      </c>
      <c r="H111" s="1" t="s">
        <v>200</v>
      </c>
      <c r="I111" s="1">
        <v>435000</v>
      </c>
      <c r="J111" s="1">
        <v>3.5</v>
      </c>
      <c r="K111" s="1">
        <f t="shared" si="6"/>
        <v>4735000</v>
      </c>
      <c r="L111" s="1" t="s">
        <v>194</v>
      </c>
      <c r="M111" s="1">
        <v>3.6</v>
      </c>
      <c r="N111" s="1">
        <v>99.331999999999994</v>
      </c>
    </row>
    <row r="112" spans="1:14" x14ac:dyDescent="0.3">
      <c r="A112" s="20" t="s">
        <v>181</v>
      </c>
      <c r="B112" s="1" t="s">
        <v>182</v>
      </c>
      <c r="C112" s="1">
        <v>2005</v>
      </c>
      <c r="D112" s="1" t="s">
        <v>381</v>
      </c>
      <c r="E112" s="1" t="s">
        <v>190</v>
      </c>
      <c r="F112" s="1" t="s">
        <v>196</v>
      </c>
      <c r="G112" s="1">
        <v>2013</v>
      </c>
      <c r="H112" s="1" t="s">
        <v>200</v>
      </c>
      <c r="I112" s="1">
        <v>450000</v>
      </c>
      <c r="J112" s="1">
        <v>3.65</v>
      </c>
      <c r="K112" s="1">
        <f t="shared" si="6"/>
        <v>4285000</v>
      </c>
      <c r="L112" s="1" t="s">
        <v>194</v>
      </c>
      <c r="M112" s="1">
        <v>3.75</v>
      </c>
      <c r="N112" s="1">
        <v>99.263000000000005</v>
      </c>
    </row>
    <row r="113" spans="1:14" x14ac:dyDescent="0.3">
      <c r="A113" s="20" t="s">
        <v>181</v>
      </c>
      <c r="B113" s="1" t="s">
        <v>182</v>
      </c>
      <c r="C113" s="1">
        <v>2005</v>
      </c>
      <c r="D113" s="1" t="s">
        <v>381</v>
      </c>
      <c r="E113" s="1" t="s">
        <v>190</v>
      </c>
      <c r="F113" s="1" t="s">
        <v>196</v>
      </c>
      <c r="G113" s="1">
        <v>2014</v>
      </c>
      <c r="H113" s="1" t="s">
        <v>200</v>
      </c>
      <c r="I113" s="1">
        <v>465000</v>
      </c>
      <c r="J113" s="1">
        <v>3.75</v>
      </c>
      <c r="K113" s="1">
        <f t="shared" si="6"/>
        <v>3820000</v>
      </c>
      <c r="L113" s="1" t="s">
        <v>194</v>
      </c>
      <c r="M113" s="1">
        <v>3.85</v>
      </c>
      <c r="N113" s="1">
        <v>99.195999999999998</v>
      </c>
    </row>
    <row r="114" spans="1:14" x14ac:dyDescent="0.3">
      <c r="A114" s="20" t="s">
        <v>181</v>
      </c>
      <c r="B114" s="1" t="s">
        <v>182</v>
      </c>
      <c r="C114" s="1">
        <v>2005</v>
      </c>
      <c r="D114" s="1" t="s">
        <v>381</v>
      </c>
      <c r="E114" s="1" t="s">
        <v>190</v>
      </c>
      <c r="F114" s="1" t="s">
        <v>196</v>
      </c>
      <c r="G114" s="1">
        <v>2015</v>
      </c>
      <c r="H114" s="1" t="s">
        <v>200</v>
      </c>
      <c r="I114" s="1">
        <v>480000</v>
      </c>
      <c r="J114" s="1">
        <v>3.8</v>
      </c>
      <c r="K114" s="1">
        <f t="shared" si="6"/>
        <v>3340000</v>
      </c>
      <c r="L114" s="1" t="s">
        <v>194</v>
      </c>
      <c r="M114" s="1">
        <v>3.9</v>
      </c>
      <c r="N114" s="1">
        <v>99.131</v>
      </c>
    </row>
    <row r="115" spans="1:14" x14ac:dyDescent="0.3">
      <c r="A115" s="20" t="s">
        <v>181</v>
      </c>
      <c r="B115" s="1" t="s">
        <v>182</v>
      </c>
      <c r="C115" s="1">
        <v>2005</v>
      </c>
      <c r="D115" s="1" t="s">
        <v>381</v>
      </c>
      <c r="E115" s="1" t="s">
        <v>190</v>
      </c>
      <c r="F115" s="1" t="s">
        <v>196</v>
      </c>
      <c r="G115" s="1">
        <v>2016</v>
      </c>
      <c r="H115" s="1" t="s">
        <v>200</v>
      </c>
      <c r="I115" s="1">
        <v>505000</v>
      </c>
      <c r="J115" s="1">
        <v>3.95</v>
      </c>
      <c r="K115" s="1">
        <f t="shared" si="6"/>
        <v>2835000</v>
      </c>
      <c r="L115" s="1" t="s">
        <v>194</v>
      </c>
      <c r="M115" s="1">
        <v>4.05</v>
      </c>
      <c r="N115" s="1">
        <v>99.073999999999998</v>
      </c>
    </row>
    <row r="116" spans="1:14" x14ac:dyDescent="0.3">
      <c r="A116" s="20" t="s">
        <v>181</v>
      </c>
      <c r="B116" s="1" t="s">
        <v>182</v>
      </c>
      <c r="C116" s="1">
        <v>2005</v>
      </c>
      <c r="D116" s="1" t="s">
        <v>381</v>
      </c>
      <c r="E116" s="1" t="s">
        <v>190</v>
      </c>
      <c r="F116" s="1" t="s">
        <v>196</v>
      </c>
      <c r="G116" s="1">
        <v>2017</v>
      </c>
      <c r="H116" s="1" t="s">
        <v>200</v>
      </c>
      <c r="I116" s="1">
        <v>520000</v>
      </c>
      <c r="J116" s="1">
        <v>4.05</v>
      </c>
      <c r="K116" s="1">
        <f t="shared" si="6"/>
        <v>2315000</v>
      </c>
      <c r="L116" s="1" t="s">
        <v>194</v>
      </c>
      <c r="M116" s="1">
        <v>4.1500000000000004</v>
      </c>
      <c r="N116" s="1">
        <v>99.018000000000001</v>
      </c>
    </row>
    <row r="117" spans="1:14" x14ac:dyDescent="0.3">
      <c r="A117" s="20" t="s">
        <v>181</v>
      </c>
      <c r="B117" s="1" t="s">
        <v>182</v>
      </c>
      <c r="C117" s="1">
        <v>2005</v>
      </c>
      <c r="D117" s="1" t="s">
        <v>381</v>
      </c>
      <c r="E117" s="1" t="s">
        <v>190</v>
      </c>
      <c r="F117" s="1" t="s">
        <v>196</v>
      </c>
      <c r="G117" s="1">
        <v>2018</v>
      </c>
      <c r="H117" s="1" t="s">
        <v>200</v>
      </c>
      <c r="I117" s="1">
        <v>540000</v>
      </c>
      <c r="J117" s="1">
        <v>4.0999999999999996</v>
      </c>
      <c r="K117" s="1">
        <f t="shared" si="6"/>
        <v>1775000</v>
      </c>
      <c r="L117" s="1" t="s">
        <v>194</v>
      </c>
      <c r="M117" s="1">
        <v>4.2</v>
      </c>
      <c r="N117" s="1">
        <v>98.963999999999999</v>
      </c>
    </row>
    <row r="118" spans="1:14" x14ac:dyDescent="0.3">
      <c r="A118" s="20" t="s">
        <v>181</v>
      </c>
      <c r="B118" s="1" t="s">
        <v>182</v>
      </c>
      <c r="C118" s="1">
        <v>2005</v>
      </c>
      <c r="D118" s="1" t="s">
        <v>381</v>
      </c>
      <c r="E118" s="1" t="s">
        <v>190</v>
      </c>
      <c r="F118" s="1" t="s">
        <v>196</v>
      </c>
      <c r="G118" s="1">
        <v>2019</v>
      </c>
      <c r="H118" s="1" t="s">
        <v>200</v>
      </c>
      <c r="I118" s="1">
        <v>570000</v>
      </c>
      <c r="J118" s="1">
        <v>4.1500000000000004</v>
      </c>
      <c r="K118" s="1">
        <f t="shared" si="6"/>
        <v>1205000</v>
      </c>
      <c r="L118" s="1" t="s">
        <v>194</v>
      </c>
      <c r="M118" s="1">
        <v>4.26</v>
      </c>
      <c r="N118" s="1">
        <v>98.805000000000007</v>
      </c>
    </row>
    <row r="119" spans="1:14" x14ac:dyDescent="0.3">
      <c r="A119" s="20" t="s">
        <v>181</v>
      </c>
      <c r="B119" s="1" t="s">
        <v>182</v>
      </c>
      <c r="C119" s="1">
        <v>2005</v>
      </c>
      <c r="D119" s="1" t="s">
        <v>381</v>
      </c>
      <c r="E119" s="1" t="s">
        <v>190</v>
      </c>
      <c r="F119" s="1" t="s">
        <v>196</v>
      </c>
      <c r="G119" s="1">
        <v>2020</v>
      </c>
      <c r="H119" s="1" t="s">
        <v>200</v>
      </c>
      <c r="I119" s="1">
        <v>590000</v>
      </c>
      <c r="J119" s="1">
        <v>4.2</v>
      </c>
      <c r="K119" s="1">
        <f t="shared" si="6"/>
        <v>615000</v>
      </c>
      <c r="L119" s="1" t="s">
        <v>194</v>
      </c>
      <c r="M119" s="1">
        <v>4.32</v>
      </c>
      <c r="N119" s="1">
        <v>98.64</v>
      </c>
    </row>
    <row r="120" spans="1:14" x14ac:dyDescent="0.3">
      <c r="A120" s="20" t="s">
        <v>181</v>
      </c>
      <c r="B120" s="1" t="s">
        <v>182</v>
      </c>
      <c r="C120" s="1">
        <v>2005</v>
      </c>
      <c r="D120" s="1" t="s">
        <v>381</v>
      </c>
      <c r="E120" s="1" t="s">
        <v>190</v>
      </c>
      <c r="F120" s="1" t="s">
        <v>196</v>
      </c>
      <c r="G120" s="1">
        <v>2021</v>
      </c>
      <c r="H120" s="1" t="s">
        <v>200</v>
      </c>
      <c r="I120" s="1">
        <v>615000</v>
      </c>
      <c r="J120" s="1">
        <v>4.25</v>
      </c>
      <c r="K120" s="1">
        <f t="shared" si="6"/>
        <v>0</v>
      </c>
      <c r="L120" s="1" t="s">
        <v>194</v>
      </c>
      <c r="M120" s="1">
        <v>4.375</v>
      </c>
      <c r="N120" s="1">
        <v>98.527000000000001</v>
      </c>
    </row>
    <row r="121" spans="1:14" x14ac:dyDescent="0.3">
      <c r="A121" s="20" t="s">
        <v>181</v>
      </c>
      <c r="B121" s="1" t="s">
        <v>182</v>
      </c>
      <c r="C121" s="1">
        <v>2010</v>
      </c>
      <c r="D121" s="1" t="s">
        <v>381</v>
      </c>
      <c r="E121" s="1" t="s">
        <v>190</v>
      </c>
      <c r="F121" s="1" t="s">
        <v>196</v>
      </c>
      <c r="G121" s="1">
        <v>2011</v>
      </c>
      <c r="H121" s="1" t="s">
        <v>200</v>
      </c>
      <c r="I121" s="1">
        <v>175000</v>
      </c>
      <c r="J121" s="1">
        <v>0.6</v>
      </c>
      <c r="K121" s="1">
        <f>5735000-I121</f>
        <v>5560000</v>
      </c>
      <c r="M121" s="1">
        <v>0.6</v>
      </c>
      <c r="N121" s="1">
        <v>100</v>
      </c>
    </row>
    <row r="122" spans="1:14" x14ac:dyDescent="0.3">
      <c r="A122" s="20" t="s">
        <v>181</v>
      </c>
      <c r="B122" s="1" t="s">
        <v>182</v>
      </c>
      <c r="C122" s="1">
        <v>2010</v>
      </c>
      <c r="D122" s="1" t="s">
        <v>381</v>
      </c>
      <c r="E122" s="1" t="s">
        <v>190</v>
      </c>
      <c r="F122" s="1" t="s">
        <v>196</v>
      </c>
      <c r="G122" s="1">
        <v>2012</v>
      </c>
      <c r="H122" s="1" t="s">
        <v>200</v>
      </c>
      <c r="I122" s="1">
        <v>510000</v>
      </c>
      <c r="J122" s="1">
        <v>1</v>
      </c>
      <c r="K122" s="1">
        <f>K121-I122</f>
        <v>5050000</v>
      </c>
      <c r="M122" s="1">
        <v>1</v>
      </c>
      <c r="N122" s="1">
        <v>100</v>
      </c>
    </row>
    <row r="123" spans="1:14" x14ac:dyDescent="0.3">
      <c r="A123" s="20" t="s">
        <v>181</v>
      </c>
      <c r="B123" s="1" t="s">
        <v>182</v>
      </c>
      <c r="C123" s="1">
        <v>2010</v>
      </c>
      <c r="D123" s="1" t="s">
        <v>381</v>
      </c>
      <c r="E123" s="1" t="s">
        <v>190</v>
      </c>
      <c r="F123" s="1" t="s">
        <v>196</v>
      </c>
      <c r="G123" s="1">
        <v>2013</v>
      </c>
      <c r="H123" s="1" t="s">
        <v>200</v>
      </c>
      <c r="I123" s="1">
        <v>60000</v>
      </c>
      <c r="J123" s="1">
        <v>1.35</v>
      </c>
      <c r="K123" s="1">
        <f t="shared" ref="K123:K133" si="7">K122-I123</f>
        <v>4990000</v>
      </c>
      <c r="M123" s="1">
        <v>1.35</v>
      </c>
      <c r="N123" s="1">
        <v>100</v>
      </c>
    </row>
    <row r="124" spans="1:14" x14ac:dyDescent="0.3">
      <c r="A124" s="20" t="s">
        <v>181</v>
      </c>
      <c r="B124" s="1" t="s">
        <v>182</v>
      </c>
      <c r="C124" s="1">
        <v>2010</v>
      </c>
      <c r="D124" s="1" t="s">
        <v>381</v>
      </c>
      <c r="E124" s="1" t="s">
        <v>190</v>
      </c>
      <c r="F124" s="1" t="s">
        <v>196</v>
      </c>
      <c r="G124" s="1">
        <v>2013</v>
      </c>
      <c r="H124" s="1" t="s">
        <v>200</v>
      </c>
      <c r="I124" s="1">
        <v>455000</v>
      </c>
      <c r="J124" s="1">
        <v>2</v>
      </c>
      <c r="K124" s="1">
        <f t="shared" si="7"/>
        <v>4535000</v>
      </c>
      <c r="M124" s="1">
        <v>1.35</v>
      </c>
      <c r="N124" s="1">
        <v>101.904</v>
      </c>
    </row>
    <row r="125" spans="1:14" x14ac:dyDescent="0.3">
      <c r="A125" s="20" t="s">
        <v>181</v>
      </c>
      <c r="B125" s="1" t="s">
        <v>182</v>
      </c>
      <c r="C125" s="1">
        <v>2010</v>
      </c>
      <c r="D125" s="1" t="s">
        <v>381</v>
      </c>
      <c r="E125" s="1" t="s">
        <v>190</v>
      </c>
      <c r="F125" s="1" t="s">
        <v>196</v>
      </c>
      <c r="G125" s="1">
        <v>2014</v>
      </c>
      <c r="H125" s="1" t="s">
        <v>200</v>
      </c>
      <c r="I125" s="1">
        <v>525000</v>
      </c>
      <c r="J125" s="1">
        <v>2</v>
      </c>
      <c r="K125" s="1">
        <f t="shared" si="7"/>
        <v>4010000</v>
      </c>
      <c r="M125" s="1">
        <v>1.6</v>
      </c>
      <c r="N125" s="1">
        <v>101.54300000000001</v>
      </c>
    </row>
    <row r="126" spans="1:14" x14ac:dyDescent="0.3">
      <c r="A126" s="20" t="s">
        <v>181</v>
      </c>
      <c r="B126" s="1" t="s">
        <v>182</v>
      </c>
      <c r="C126" s="1">
        <v>2010</v>
      </c>
      <c r="D126" s="1" t="s">
        <v>381</v>
      </c>
      <c r="E126" s="1" t="s">
        <v>190</v>
      </c>
      <c r="F126" s="1" t="s">
        <v>196</v>
      </c>
      <c r="G126" s="1">
        <v>2015</v>
      </c>
      <c r="H126" s="1" t="s">
        <v>200</v>
      </c>
      <c r="I126" s="1">
        <v>530000</v>
      </c>
      <c r="J126" s="1">
        <v>1.95</v>
      </c>
      <c r="K126" s="1">
        <f t="shared" si="7"/>
        <v>3480000</v>
      </c>
      <c r="M126" s="1">
        <v>1.95</v>
      </c>
      <c r="N126" s="1">
        <v>100</v>
      </c>
    </row>
    <row r="127" spans="1:14" x14ac:dyDescent="0.3">
      <c r="A127" s="20" t="s">
        <v>181</v>
      </c>
      <c r="B127" s="1" t="s">
        <v>182</v>
      </c>
      <c r="C127" s="1">
        <v>2010</v>
      </c>
      <c r="D127" s="1" t="s">
        <v>381</v>
      </c>
      <c r="E127" s="1" t="s">
        <v>190</v>
      </c>
      <c r="F127" s="1" t="s">
        <v>196</v>
      </c>
      <c r="G127" s="1">
        <v>2016</v>
      </c>
      <c r="H127" s="1" t="s">
        <v>200</v>
      </c>
      <c r="I127" s="1">
        <v>550000</v>
      </c>
      <c r="J127" s="1">
        <v>2</v>
      </c>
      <c r="K127" s="1">
        <f t="shared" si="7"/>
        <v>2930000</v>
      </c>
      <c r="M127" s="1">
        <v>2.25</v>
      </c>
      <c r="N127" s="1">
        <v>98.603999999999999</v>
      </c>
    </row>
    <row r="128" spans="1:14" x14ac:dyDescent="0.3">
      <c r="A128" s="20" t="s">
        <v>181</v>
      </c>
      <c r="B128" s="1" t="s">
        <v>182</v>
      </c>
      <c r="C128" s="1">
        <v>2010</v>
      </c>
      <c r="D128" s="1" t="s">
        <v>381</v>
      </c>
      <c r="E128" s="1" t="s">
        <v>190</v>
      </c>
      <c r="F128" s="1" t="s">
        <v>196</v>
      </c>
      <c r="G128" s="1">
        <v>2017</v>
      </c>
      <c r="H128" s="1" t="s">
        <v>200</v>
      </c>
      <c r="I128" s="1">
        <v>555000</v>
      </c>
      <c r="J128" s="1">
        <v>2.375</v>
      </c>
      <c r="K128" s="1">
        <f t="shared" si="7"/>
        <v>2375000</v>
      </c>
      <c r="M128" s="1">
        <v>2.5499999999999998</v>
      </c>
      <c r="N128" s="1">
        <v>98.884</v>
      </c>
    </row>
    <row r="129" spans="1:14" x14ac:dyDescent="0.3">
      <c r="A129" s="20" t="s">
        <v>181</v>
      </c>
      <c r="B129" s="1" t="s">
        <v>182</v>
      </c>
      <c r="C129" s="1">
        <v>2010</v>
      </c>
      <c r="D129" s="1" t="s">
        <v>381</v>
      </c>
      <c r="E129" s="1" t="s">
        <v>190</v>
      </c>
      <c r="F129" s="1" t="s">
        <v>196</v>
      </c>
      <c r="G129" s="1">
        <v>2018</v>
      </c>
      <c r="H129" s="1" t="s">
        <v>200</v>
      </c>
      <c r="I129" s="1">
        <v>565000</v>
      </c>
      <c r="J129" s="1">
        <v>2.625</v>
      </c>
      <c r="K129" s="1">
        <f t="shared" si="7"/>
        <v>1810000</v>
      </c>
      <c r="M129" s="1">
        <v>2.8</v>
      </c>
      <c r="N129" s="1">
        <v>98.753</v>
      </c>
    </row>
    <row r="130" spans="1:14" x14ac:dyDescent="0.3">
      <c r="A130" s="20" t="s">
        <v>181</v>
      </c>
      <c r="B130" s="1" t="s">
        <v>182</v>
      </c>
      <c r="C130" s="1">
        <v>2010</v>
      </c>
      <c r="D130" s="1" t="s">
        <v>381</v>
      </c>
      <c r="E130" s="1" t="s">
        <v>190</v>
      </c>
      <c r="F130" s="1" t="s">
        <v>196</v>
      </c>
      <c r="G130" s="1">
        <v>2019</v>
      </c>
      <c r="H130" s="1" t="s">
        <v>200</v>
      </c>
      <c r="I130" s="1">
        <v>590000</v>
      </c>
      <c r="J130" s="1">
        <v>2.875</v>
      </c>
      <c r="K130" s="1">
        <f t="shared" si="7"/>
        <v>1220000</v>
      </c>
      <c r="M130" s="1">
        <v>3.05</v>
      </c>
      <c r="N130" s="1">
        <v>98.631</v>
      </c>
    </row>
    <row r="131" spans="1:14" x14ac:dyDescent="0.3">
      <c r="A131" s="20" t="s">
        <v>181</v>
      </c>
      <c r="B131" s="1" t="s">
        <v>182</v>
      </c>
      <c r="C131" s="1">
        <v>2010</v>
      </c>
      <c r="D131" s="1" t="s">
        <v>381</v>
      </c>
      <c r="E131" s="1" t="s">
        <v>190</v>
      </c>
      <c r="F131" s="1" t="s">
        <v>196</v>
      </c>
      <c r="G131" s="1">
        <v>2020</v>
      </c>
      <c r="H131" s="1" t="s">
        <v>200</v>
      </c>
      <c r="I131" s="1">
        <v>600000</v>
      </c>
      <c r="J131" s="1">
        <v>3</v>
      </c>
      <c r="K131" s="1">
        <f t="shared" si="7"/>
        <v>620000</v>
      </c>
      <c r="M131" s="1">
        <v>3.2</v>
      </c>
      <c r="N131" s="1">
        <v>98.299000000000007</v>
      </c>
    </row>
    <row r="132" spans="1:14" x14ac:dyDescent="0.3">
      <c r="A132" s="20" t="s">
        <v>181</v>
      </c>
      <c r="B132" s="1" t="s">
        <v>182</v>
      </c>
      <c r="C132" s="1">
        <v>2010</v>
      </c>
      <c r="D132" s="1" t="s">
        <v>381</v>
      </c>
      <c r="E132" s="1" t="s">
        <v>190</v>
      </c>
      <c r="F132" s="1" t="s">
        <v>196</v>
      </c>
      <c r="G132" s="1">
        <v>2021</v>
      </c>
      <c r="H132" s="1" t="s">
        <v>200</v>
      </c>
      <c r="I132" s="1">
        <v>220000</v>
      </c>
      <c r="J132" s="1">
        <v>3.4</v>
      </c>
      <c r="K132" s="1">
        <f t="shared" si="7"/>
        <v>400000</v>
      </c>
      <c r="M132" s="1">
        <v>3.4</v>
      </c>
      <c r="N132" s="1">
        <v>100</v>
      </c>
    </row>
    <row r="133" spans="1:14" x14ac:dyDescent="0.3">
      <c r="A133" s="20" t="s">
        <v>181</v>
      </c>
      <c r="B133" s="1" t="s">
        <v>182</v>
      </c>
      <c r="C133" s="1">
        <v>2010</v>
      </c>
      <c r="D133" s="1" t="s">
        <v>381</v>
      </c>
      <c r="E133" s="1" t="s">
        <v>190</v>
      </c>
      <c r="F133" s="1" t="s">
        <v>196</v>
      </c>
      <c r="G133" s="1">
        <v>2021</v>
      </c>
      <c r="H133" s="1" t="s">
        <v>200</v>
      </c>
      <c r="I133" s="1">
        <v>400000</v>
      </c>
      <c r="J133" s="1">
        <v>3.25</v>
      </c>
      <c r="K133" s="1">
        <f t="shared" si="7"/>
        <v>0</v>
      </c>
      <c r="M133" s="1">
        <v>3.4</v>
      </c>
      <c r="N133" s="1">
        <v>98.632000000000005</v>
      </c>
    </row>
    <row r="134" spans="1:14" x14ac:dyDescent="0.3">
      <c r="A134" s="20" t="s">
        <v>181</v>
      </c>
      <c r="B134" s="1" t="s">
        <v>182</v>
      </c>
      <c r="C134" s="1">
        <v>2015</v>
      </c>
      <c r="D134" s="1" t="s">
        <v>381</v>
      </c>
      <c r="E134" s="1" t="s">
        <v>190</v>
      </c>
      <c r="F134" s="1" t="s">
        <v>196</v>
      </c>
      <c r="G134" s="1">
        <v>2016</v>
      </c>
      <c r="H134" s="1" t="s">
        <v>198</v>
      </c>
      <c r="I134" s="1">
        <v>290000</v>
      </c>
      <c r="J134" s="1">
        <v>0.6</v>
      </c>
      <c r="K134" s="1">
        <f>2835000-I134</f>
        <v>2545000</v>
      </c>
      <c r="M134" s="1">
        <v>0.6</v>
      </c>
      <c r="N134" s="1">
        <v>100</v>
      </c>
    </row>
    <row r="135" spans="1:14" x14ac:dyDescent="0.3">
      <c r="A135" s="20" t="s">
        <v>181</v>
      </c>
      <c r="B135" s="1" t="s">
        <v>182</v>
      </c>
      <c r="C135" s="1">
        <v>2015</v>
      </c>
      <c r="D135" s="1" t="s">
        <v>381</v>
      </c>
      <c r="E135" s="1" t="s">
        <v>190</v>
      </c>
      <c r="F135" s="1" t="s">
        <v>196</v>
      </c>
      <c r="G135" s="1">
        <v>2016</v>
      </c>
      <c r="H135" s="1" t="s">
        <v>200</v>
      </c>
      <c r="I135" s="1">
        <v>290000</v>
      </c>
      <c r="J135" s="1">
        <v>2</v>
      </c>
      <c r="K135" s="1">
        <f>K134-I135</f>
        <v>2255000</v>
      </c>
      <c r="M135" s="1">
        <v>0.8</v>
      </c>
      <c r="N135" s="1">
        <v>101.28100000000001</v>
      </c>
    </row>
    <row r="136" spans="1:14" x14ac:dyDescent="0.3">
      <c r="A136" s="20" t="s">
        <v>181</v>
      </c>
      <c r="B136" s="1" t="s">
        <v>182</v>
      </c>
      <c r="C136" s="1">
        <v>2015</v>
      </c>
      <c r="D136" s="1" t="s">
        <v>381</v>
      </c>
      <c r="E136" s="1" t="s">
        <v>190</v>
      </c>
      <c r="F136" s="1" t="s">
        <v>196</v>
      </c>
      <c r="G136" s="1">
        <v>2017</v>
      </c>
      <c r="H136" s="1" t="s">
        <v>198</v>
      </c>
      <c r="I136" s="1">
        <v>290000</v>
      </c>
      <c r="J136" s="1">
        <v>1</v>
      </c>
      <c r="K136" s="1">
        <f t="shared" ref="K136:K143" si="8">K135-I136</f>
        <v>1965000</v>
      </c>
      <c r="M136" s="1">
        <v>1</v>
      </c>
      <c r="N136" s="1">
        <v>100</v>
      </c>
    </row>
    <row r="137" spans="1:14" x14ac:dyDescent="0.3">
      <c r="A137" s="20" t="s">
        <v>181</v>
      </c>
      <c r="B137" s="1" t="s">
        <v>182</v>
      </c>
      <c r="C137" s="1">
        <v>2015</v>
      </c>
      <c r="D137" s="1" t="s">
        <v>381</v>
      </c>
      <c r="E137" s="1" t="s">
        <v>190</v>
      </c>
      <c r="F137" s="1" t="s">
        <v>196</v>
      </c>
      <c r="G137" s="1">
        <v>2017</v>
      </c>
      <c r="H137" s="1" t="s">
        <v>200</v>
      </c>
      <c r="I137" s="1">
        <v>295000</v>
      </c>
      <c r="J137" s="1">
        <v>2</v>
      </c>
      <c r="K137" s="1">
        <f t="shared" si="8"/>
        <v>1670000</v>
      </c>
      <c r="M137" s="1">
        <v>1.18</v>
      </c>
      <c r="N137" s="1">
        <v>101.67500000000001</v>
      </c>
    </row>
    <row r="138" spans="1:14" x14ac:dyDescent="0.3">
      <c r="A138" s="20" t="s">
        <v>181</v>
      </c>
      <c r="B138" s="1" t="s">
        <v>182</v>
      </c>
      <c r="C138" s="1">
        <v>2015</v>
      </c>
      <c r="D138" s="1" t="s">
        <v>381</v>
      </c>
      <c r="E138" s="1" t="s">
        <v>190</v>
      </c>
      <c r="F138" s="1" t="s">
        <v>196</v>
      </c>
      <c r="G138" s="1">
        <v>2018</v>
      </c>
      <c r="H138" s="1" t="s">
        <v>198</v>
      </c>
      <c r="I138" s="1">
        <v>295000</v>
      </c>
      <c r="J138" s="1">
        <v>2</v>
      </c>
      <c r="K138" s="1">
        <f t="shared" si="8"/>
        <v>1375000</v>
      </c>
      <c r="M138" s="1">
        <v>1.29</v>
      </c>
      <c r="N138" s="1">
        <v>101.79199999999999</v>
      </c>
    </row>
    <row r="139" spans="1:14" x14ac:dyDescent="0.3">
      <c r="A139" s="20" t="s">
        <v>181</v>
      </c>
      <c r="B139" s="1" t="s">
        <v>182</v>
      </c>
      <c r="C139" s="1">
        <v>2015</v>
      </c>
      <c r="D139" s="1" t="s">
        <v>381</v>
      </c>
      <c r="E139" s="1" t="s">
        <v>190</v>
      </c>
      <c r="F139" s="1" t="s">
        <v>196</v>
      </c>
      <c r="G139" s="1">
        <v>2018</v>
      </c>
      <c r="H139" s="1" t="s">
        <v>200</v>
      </c>
      <c r="I139" s="1">
        <v>300000</v>
      </c>
      <c r="J139" s="1">
        <v>2</v>
      </c>
      <c r="K139" s="1">
        <f t="shared" si="8"/>
        <v>1075000</v>
      </c>
      <c r="M139" s="1">
        <v>1.4200000000000002</v>
      </c>
      <c r="N139" s="1">
        <v>101.738</v>
      </c>
    </row>
    <row r="140" spans="1:14" x14ac:dyDescent="0.3">
      <c r="A140" s="20" t="s">
        <v>181</v>
      </c>
      <c r="B140" s="1" t="s">
        <v>182</v>
      </c>
      <c r="C140" s="1">
        <v>2015</v>
      </c>
      <c r="D140" s="1" t="s">
        <v>381</v>
      </c>
      <c r="E140" s="1" t="s">
        <v>190</v>
      </c>
      <c r="F140" s="1" t="s">
        <v>196</v>
      </c>
      <c r="G140" s="1">
        <v>2019</v>
      </c>
      <c r="H140" s="1" t="s">
        <v>198</v>
      </c>
      <c r="I140" s="1">
        <v>310000</v>
      </c>
      <c r="J140" s="1">
        <v>3</v>
      </c>
      <c r="K140" s="1">
        <f t="shared" si="8"/>
        <v>765000</v>
      </c>
      <c r="M140" s="1">
        <v>1.54</v>
      </c>
      <c r="N140" s="1">
        <v>105.05800000000001</v>
      </c>
    </row>
    <row r="141" spans="1:14" x14ac:dyDescent="0.3">
      <c r="A141" s="20" t="s">
        <v>181</v>
      </c>
      <c r="B141" s="1" t="s">
        <v>182</v>
      </c>
      <c r="C141" s="1">
        <v>2015</v>
      </c>
      <c r="D141" s="1" t="s">
        <v>381</v>
      </c>
      <c r="E141" s="1" t="s">
        <v>190</v>
      </c>
      <c r="F141" s="1" t="s">
        <v>196</v>
      </c>
      <c r="G141" s="1">
        <v>2019</v>
      </c>
      <c r="H141" s="1" t="s">
        <v>200</v>
      </c>
      <c r="I141" s="1">
        <v>310000</v>
      </c>
      <c r="J141" s="1">
        <v>3</v>
      </c>
      <c r="K141" s="1">
        <f t="shared" si="8"/>
        <v>455000</v>
      </c>
      <c r="M141" s="1">
        <v>1.6400000000000001</v>
      </c>
      <c r="N141" s="1">
        <v>105.33799999999999</v>
      </c>
    </row>
    <row r="142" spans="1:14" x14ac:dyDescent="0.3">
      <c r="A142" s="20" t="s">
        <v>181</v>
      </c>
      <c r="B142" s="1" t="s">
        <v>182</v>
      </c>
      <c r="C142" s="1">
        <v>2015</v>
      </c>
      <c r="D142" s="1" t="s">
        <v>381</v>
      </c>
      <c r="E142" s="1" t="s">
        <v>190</v>
      </c>
      <c r="F142" s="1" t="s">
        <v>196</v>
      </c>
      <c r="G142" s="1">
        <v>2020</v>
      </c>
      <c r="H142" s="1" t="s">
        <v>198</v>
      </c>
      <c r="I142" s="1">
        <v>315000</v>
      </c>
      <c r="J142" s="1">
        <v>3</v>
      </c>
      <c r="K142" s="1">
        <f t="shared" si="8"/>
        <v>140000</v>
      </c>
      <c r="M142" s="1">
        <v>1.83</v>
      </c>
      <c r="N142" s="1">
        <v>105.111</v>
      </c>
    </row>
    <row r="143" spans="1:14" x14ac:dyDescent="0.3">
      <c r="A143" s="20" t="s">
        <v>181</v>
      </c>
      <c r="B143" s="1" t="s">
        <v>182</v>
      </c>
      <c r="C143" s="1">
        <v>2015</v>
      </c>
      <c r="D143" s="1" t="s">
        <v>381</v>
      </c>
      <c r="E143" s="1" t="s">
        <v>190</v>
      </c>
      <c r="F143" s="1" t="s">
        <v>196</v>
      </c>
      <c r="G143" s="1">
        <v>2020</v>
      </c>
      <c r="H143" s="1" t="s">
        <v>200</v>
      </c>
      <c r="I143" s="1">
        <v>140000</v>
      </c>
      <c r="J143" s="1">
        <v>3</v>
      </c>
      <c r="K143" s="1">
        <f t="shared" si="8"/>
        <v>0</v>
      </c>
      <c r="M143" s="1">
        <v>1.9300000000000002</v>
      </c>
      <c r="N143" s="1">
        <v>105.148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8" workbookViewId="0">
      <selection activeCell="F31" sqref="F31"/>
    </sheetView>
  </sheetViews>
  <sheetFormatPr defaultColWidth="8.77734375" defaultRowHeight="14.4" x14ac:dyDescent="0.3"/>
  <cols>
    <col min="1" max="1" width="13.21875" style="1" customWidth="1"/>
    <col min="2" max="5" width="8.77734375" style="1"/>
    <col min="6" max="6" width="18.88671875" style="1" customWidth="1"/>
    <col min="7" max="16384" width="8.77734375" style="1"/>
  </cols>
  <sheetData>
    <row r="1" spans="1:7" x14ac:dyDescent="0.3">
      <c r="A1" s="2" t="s">
        <v>0</v>
      </c>
      <c r="B1" s="2" t="s">
        <v>27</v>
      </c>
      <c r="C1" s="2" t="s">
        <v>2</v>
      </c>
      <c r="D1" s="2" t="s">
        <v>24</v>
      </c>
      <c r="E1" s="5" t="s">
        <v>3</v>
      </c>
      <c r="F1" s="4" t="s">
        <v>107</v>
      </c>
      <c r="G1" s="4" t="s">
        <v>96</v>
      </c>
    </row>
    <row r="2" spans="1:7" x14ac:dyDescent="0.3">
      <c r="A2" s="64" t="s">
        <v>181</v>
      </c>
      <c r="B2" s="1" t="s">
        <v>182</v>
      </c>
      <c r="C2" s="1">
        <v>1994</v>
      </c>
      <c r="D2" s="1" t="s">
        <v>183</v>
      </c>
      <c r="E2" s="1">
        <v>3187235</v>
      </c>
      <c r="F2" s="1" t="s">
        <v>537</v>
      </c>
    </row>
    <row r="3" spans="1:7" x14ac:dyDescent="0.3">
      <c r="A3" s="64" t="s">
        <v>181</v>
      </c>
      <c r="B3" s="1" t="s">
        <v>182</v>
      </c>
      <c r="C3" s="1">
        <v>1994</v>
      </c>
      <c r="D3" s="1" t="s">
        <v>183</v>
      </c>
      <c r="E3" s="1">
        <v>132428</v>
      </c>
      <c r="F3" s="1" t="s">
        <v>204</v>
      </c>
    </row>
    <row r="4" spans="1:7" x14ac:dyDescent="0.3">
      <c r="A4" s="64" t="s">
        <v>181</v>
      </c>
      <c r="B4" s="1" t="s">
        <v>182</v>
      </c>
      <c r="C4" s="1">
        <v>2003</v>
      </c>
      <c r="D4" s="1" t="s">
        <v>183</v>
      </c>
      <c r="E4" s="1">
        <v>1647032</v>
      </c>
      <c r="F4" s="1" t="s">
        <v>538</v>
      </c>
    </row>
    <row r="5" spans="1:7" x14ac:dyDescent="0.3">
      <c r="A5" s="64" t="s">
        <v>181</v>
      </c>
      <c r="B5" s="1" t="s">
        <v>182</v>
      </c>
      <c r="C5" s="1">
        <v>2003</v>
      </c>
      <c r="D5" s="1" t="s">
        <v>183</v>
      </c>
      <c r="E5" s="1">
        <v>4661000</v>
      </c>
      <c r="F5" s="1" t="s">
        <v>202</v>
      </c>
    </row>
    <row r="6" spans="1:7" x14ac:dyDescent="0.3">
      <c r="A6" s="64" t="s">
        <v>181</v>
      </c>
      <c r="B6" s="1" t="s">
        <v>182</v>
      </c>
      <c r="C6" s="1">
        <v>2003</v>
      </c>
      <c r="D6" s="1" t="s">
        <v>183</v>
      </c>
      <c r="E6" s="1">
        <v>540505</v>
      </c>
      <c r="F6" s="1" t="s">
        <v>203</v>
      </c>
    </row>
    <row r="7" spans="1:7" x14ac:dyDescent="0.3">
      <c r="A7" s="64" t="s">
        <v>181</v>
      </c>
      <c r="B7" s="1" t="s">
        <v>182</v>
      </c>
      <c r="C7" s="1">
        <v>2003</v>
      </c>
      <c r="D7" s="1" t="s">
        <v>183</v>
      </c>
      <c r="E7" s="1">
        <v>161319</v>
      </c>
      <c r="F7" s="1" t="s">
        <v>204</v>
      </c>
    </row>
    <row r="8" spans="1:7" x14ac:dyDescent="0.3">
      <c r="A8" s="64" t="s">
        <v>181</v>
      </c>
      <c r="B8" s="1" t="s">
        <v>182</v>
      </c>
      <c r="C8" s="1">
        <v>2010</v>
      </c>
      <c r="D8" s="1" t="s">
        <v>183</v>
      </c>
      <c r="E8" s="1">
        <v>5566392</v>
      </c>
      <c r="F8" s="1" t="s">
        <v>552</v>
      </c>
    </row>
    <row r="9" spans="1:7" x14ac:dyDescent="0.3">
      <c r="A9" s="64" t="s">
        <v>181</v>
      </c>
      <c r="B9" s="1" t="s">
        <v>182</v>
      </c>
      <c r="C9" s="1">
        <v>2010</v>
      </c>
      <c r="D9" s="1" t="s">
        <v>183</v>
      </c>
      <c r="E9" s="1">
        <v>2717000</v>
      </c>
      <c r="F9" s="1" t="s">
        <v>202</v>
      </c>
    </row>
    <row r="10" spans="1:7" x14ac:dyDescent="0.3">
      <c r="A10" s="64" t="s">
        <v>181</v>
      </c>
      <c r="B10" s="1" t="s">
        <v>182</v>
      </c>
      <c r="C10" s="1">
        <v>2010</v>
      </c>
      <c r="D10" s="1" t="s">
        <v>183</v>
      </c>
      <c r="E10" s="1">
        <v>695793</v>
      </c>
      <c r="F10" s="1" t="s">
        <v>203</v>
      </c>
    </row>
    <row r="11" spans="1:7" x14ac:dyDescent="0.3">
      <c r="A11" s="64" t="s">
        <v>181</v>
      </c>
      <c r="B11" s="1" t="s">
        <v>182</v>
      </c>
      <c r="C11" s="1">
        <v>2010</v>
      </c>
      <c r="D11" s="1" t="s">
        <v>183</v>
      </c>
      <c r="E11" s="1">
        <v>138550</v>
      </c>
      <c r="F11" s="1" t="s">
        <v>204</v>
      </c>
    </row>
    <row r="12" spans="1:7" x14ac:dyDescent="0.3">
      <c r="A12" s="64" t="s">
        <v>181</v>
      </c>
      <c r="B12" s="1" t="s">
        <v>182</v>
      </c>
      <c r="C12" s="1">
        <v>2010</v>
      </c>
      <c r="D12" s="1" t="s">
        <v>183</v>
      </c>
      <c r="E12" s="1">
        <v>2137</v>
      </c>
      <c r="F12" s="1" t="s">
        <v>205</v>
      </c>
    </row>
    <row r="13" spans="1:7" x14ac:dyDescent="0.3">
      <c r="A13" s="64" t="s">
        <v>181</v>
      </c>
      <c r="B13" s="1" t="s">
        <v>182</v>
      </c>
      <c r="C13" s="1">
        <v>2017</v>
      </c>
      <c r="D13" s="1" t="s">
        <v>183</v>
      </c>
      <c r="E13" s="1">
        <v>1768440</v>
      </c>
      <c r="F13" s="1" t="s">
        <v>202</v>
      </c>
    </row>
    <row r="14" spans="1:7" x14ac:dyDescent="0.3">
      <c r="A14" s="64" t="s">
        <v>181</v>
      </c>
      <c r="B14" s="1" t="s">
        <v>182</v>
      </c>
      <c r="C14" s="1">
        <v>2017</v>
      </c>
      <c r="D14" s="1" t="s">
        <v>183</v>
      </c>
      <c r="E14" s="1">
        <v>6795971</v>
      </c>
      <c r="F14" s="1" t="s">
        <v>553</v>
      </c>
    </row>
    <row r="15" spans="1:7" x14ac:dyDescent="0.3">
      <c r="A15" s="64" t="s">
        <v>181</v>
      </c>
      <c r="B15" s="1" t="s">
        <v>182</v>
      </c>
      <c r="C15" s="1">
        <v>2017</v>
      </c>
      <c r="D15" s="1" t="s">
        <v>183</v>
      </c>
      <c r="E15" s="1">
        <v>157474</v>
      </c>
      <c r="F15" s="1" t="s">
        <v>204</v>
      </c>
    </row>
    <row r="16" spans="1:7" x14ac:dyDescent="0.3">
      <c r="A16" s="64" t="s">
        <v>181</v>
      </c>
      <c r="B16" s="1" t="s">
        <v>182</v>
      </c>
      <c r="C16" s="1">
        <v>1992</v>
      </c>
      <c r="D16" s="1" t="s">
        <v>381</v>
      </c>
      <c r="E16" s="1">
        <v>2975224</v>
      </c>
      <c r="F16" s="1" t="s">
        <v>579</v>
      </c>
    </row>
    <row r="17" spans="1:7" x14ac:dyDescent="0.3">
      <c r="A17" s="64" t="s">
        <v>181</v>
      </c>
      <c r="B17" s="1" t="s">
        <v>182</v>
      </c>
      <c r="C17" s="1">
        <v>1992</v>
      </c>
      <c r="D17" s="1" t="s">
        <v>381</v>
      </c>
      <c r="E17" s="1">
        <v>287700</v>
      </c>
      <c r="F17" s="1" t="s">
        <v>203</v>
      </c>
    </row>
    <row r="18" spans="1:7" x14ac:dyDescent="0.3">
      <c r="A18" s="64" t="s">
        <v>181</v>
      </c>
      <c r="B18" s="1" t="s">
        <v>182</v>
      </c>
      <c r="C18" s="1">
        <v>1992</v>
      </c>
      <c r="D18" s="1" t="s">
        <v>381</v>
      </c>
      <c r="E18" s="1">
        <v>116871</v>
      </c>
      <c r="F18" s="1" t="s">
        <v>387</v>
      </c>
    </row>
    <row r="19" spans="1:7" x14ac:dyDescent="0.3">
      <c r="A19" s="64" t="s">
        <v>181</v>
      </c>
      <c r="B19" s="1" t="s">
        <v>182</v>
      </c>
      <c r="C19" s="1">
        <v>2002</v>
      </c>
      <c r="D19" s="1" t="s">
        <v>381</v>
      </c>
      <c r="E19" s="1">
        <v>7591745</v>
      </c>
      <c r="F19" s="1" t="s">
        <v>202</v>
      </c>
    </row>
    <row r="20" spans="1:7" x14ac:dyDescent="0.3">
      <c r="A20" s="64" t="s">
        <v>181</v>
      </c>
      <c r="B20" s="1" t="s">
        <v>182</v>
      </c>
      <c r="C20" s="1">
        <v>2002</v>
      </c>
      <c r="D20" s="1" t="s">
        <v>381</v>
      </c>
      <c r="E20" s="1">
        <v>735657</v>
      </c>
      <c r="F20" s="1" t="s">
        <v>587</v>
      </c>
    </row>
    <row r="21" spans="1:7" x14ac:dyDescent="0.3">
      <c r="A21" s="64" t="s">
        <v>181</v>
      </c>
      <c r="B21" s="1" t="s">
        <v>182</v>
      </c>
      <c r="C21" s="1">
        <v>2002</v>
      </c>
      <c r="D21" s="1" t="s">
        <v>381</v>
      </c>
      <c r="E21" s="1">
        <v>645028</v>
      </c>
      <c r="F21" s="1" t="s">
        <v>203</v>
      </c>
      <c r="G21" s="1" t="s">
        <v>386</v>
      </c>
    </row>
    <row r="22" spans="1:7" x14ac:dyDescent="0.3">
      <c r="A22" s="64" t="s">
        <v>181</v>
      </c>
      <c r="B22" s="1" t="s">
        <v>182</v>
      </c>
      <c r="C22" s="1">
        <v>2002</v>
      </c>
      <c r="D22" s="1" t="s">
        <v>381</v>
      </c>
      <c r="E22" s="1">
        <v>154574</v>
      </c>
      <c r="F22" s="1" t="s">
        <v>387</v>
      </c>
    </row>
    <row r="23" spans="1:7" x14ac:dyDescent="0.3">
      <c r="A23" s="64" t="s">
        <v>181</v>
      </c>
      <c r="B23" s="1" t="s">
        <v>182</v>
      </c>
      <c r="C23" s="1">
        <v>2005</v>
      </c>
      <c r="D23" s="1" t="s">
        <v>381</v>
      </c>
      <c r="E23" s="1">
        <v>7622827</v>
      </c>
      <c r="F23" s="1" t="s">
        <v>592</v>
      </c>
    </row>
    <row r="24" spans="1:7" x14ac:dyDescent="0.3">
      <c r="A24" s="64" t="s">
        <v>181</v>
      </c>
      <c r="B24" s="1" t="s">
        <v>182</v>
      </c>
      <c r="C24" s="1">
        <v>2005</v>
      </c>
      <c r="D24" s="1" t="s">
        <v>381</v>
      </c>
      <c r="E24" s="1">
        <v>898</v>
      </c>
      <c r="F24" s="1" t="s">
        <v>203</v>
      </c>
    </row>
    <row r="25" spans="1:7" x14ac:dyDescent="0.3">
      <c r="A25" s="64" t="s">
        <v>181</v>
      </c>
      <c r="B25" s="1" t="s">
        <v>182</v>
      </c>
      <c r="C25" s="1">
        <v>2005</v>
      </c>
      <c r="D25" s="1" t="s">
        <v>381</v>
      </c>
      <c r="E25" s="1">
        <v>57755</v>
      </c>
      <c r="F25" s="1" t="s">
        <v>388</v>
      </c>
    </row>
    <row r="26" spans="1:7" x14ac:dyDescent="0.3">
      <c r="A26" s="64" t="s">
        <v>181</v>
      </c>
      <c r="B26" s="1" t="s">
        <v>182</v>
      </c>
      <c r="C26" s="1">
        <v>2005</v>
      </c>
      <c r="D26" s="1" t="s">
        <v>381</v>
      </c>
      <c r="E26" s="1">
        <v>148521</v>
      </c>
      <c r="F26" s="1" t="s">
        <v>204</v>
      </c>
    </row>
    <row r="27" spans="1:7" x14ac:dyDescent="0.3">
      <c r="A27" s="64" t="s">
        <v>181</v>
      </c>
      <c r="B27" s="1" t="s">
        <v>182</v>
      </c>
      <c r="C27" s="1">
        <v>2010</v>
      </c>
      <c r="D27" s="1" t="s">
        <v>381</v>
      </c>
      <c r="E27" s="1">
        <v>5590609</v>
      </c>
      <c r="F27" s="1" t="s">
        <v>598</v>
      </c>
    </row>
    <row r="28" spans="1:7" x14ac:dyDescent="0.3">
      <c r="A28" s="64" t="s">
        <v>181</v>
      </c>
      <c r="B28" s="1" t="s">
        <v>182</v>
      </c>
      <c r="C28" s="1">
        <v>2010</v>
      </c>
      <c r="D28" s="1" t="s">
        <v>381</v>
      </c>
      <c r="E28" s="1">
        <v>111978</v>
      </c>
      <c r="F28" s="1" t="s">
        <v>204</v>
      </c>
    </row>
    <row r="29" spans="1:7" x14ac:dyDescent="0.3">
      <c r="A29" s="64" t="s">
        <v>181</v>
      </c>
      <c r="B29" s="1" t="s">
        <v>182</v>
      </c>
      <c r="C29" s="1">
        <v>2010</v>
      </c>
      <c r="D29" s="1" t="s">
        <v>381</v>
      </c>
      <c r="E29" s="1">
        <v>4504</v>
      </c>
      <c r="F29" s="1" t="s">
        <v>205</v>
      </c>
    </row>
    <row r="30" spans="1:7" x14ac:dyDescent="0.3">
      <c r="A30" s="64" t="s">
        <v>181</v>
      </c>
      <c r="B30" s="1" t="s">
        <v>182</v>
      </c>
      <c r="C30" s="1">
        <v>2015</v>
      </c>
      <c r="D30" s="1" t="s">
        <v>381</v>
      </c>
      <c r="E30" s="1">
        <v>3480000</v>
      </c>
      <c r="F30" s="1" t="s">
        <v>603</v>
      </c>
    </row>
    <row r="31" spans="1:7" x14ac:dyDescent="0.3">
      <c r="A31" s="64" t="s">
        <v>181</v>
      </c>
      <c r="B31" s="1" t="s">
        <v>182</v>
      </c>
      <c r="C31" s="1">
        <v>2015</v>
      </c>
      <c r="D31" s="1" t="s">
        <v>381</v>
      </c>
      <c r="E31" s="1">
        <v>2901</v>
      </c>
      <c r="F31" s="1" t="s">
        <v>389</v>
      </c>
    </row>
    <row r="32" spans="1:7" x14ac:dyDescent="0.3">
      <c r="A32" s="64" t="s">
        <v>181</v>
      </c>
      <c r="B32" s="1" t="s">
        <v>182</v>
      </c>
      <c r="C32" s="1">
        <v>2015</v>
      </c>
      <c r="D32" s="1" t="s">
        <v>381</v>
      </c>
      <c r="E32" s="1">
        <v>72233</v>
      </c>
      <c r="F32" s="1" t="s">
        <v>204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6" workbookViewId="0">
      <selection activeCell="K47" sqref="K47"/>
    </sheetView>
  </sheetViews>
  <sheetFormatPr defaultColWidth="8.77734375" defaultRowHeight="14.4" x14ac:dyDescent="0.3"/>
  <cols>
    <col min="1" max="1" width="10.109375" style="1" bestFit="1" customWidth="1"/>
    <col min="2" max="3" width="8.77734375" style="1"/>
    <col min="4" max="4" width="14.88671875" style="1" customWidth="1"/>
    <col min="5" max="5" width="8.77734375" style="1"/>
    <col min="6" max="6" width="11" style="1" bestFit="1" customWidth="1"/>
    <col min="7" max="16384" width="8.77734375" style="1"/>
  </cols>
  <sheetData>
    <row r="1" spans="1:13" x14ac:dyDescent="0.3">
      <c r="A1" s="2" t="s">
        <v>0</v>
      </c>
      <c r="B1" s="2" t="s">
        <v>27</v>
      </c>
      <c r="C1" s="2" t="s">
        <v>2</v>
      </c>
      <c r="D1" s="2" t="s">
        <v>108</v>
      </c>
      <c r="E1" s="2" t="s">
        <v>24</v>
      </c>
      <c r="F1" s="2" t="s">
        <v>109</v>
      </c>
      <c r="G1" s="5" t="s">
        <v>3</v>
      </c>
      <c r="H1" s="4" t="s">
        <v>4</v>
      </c>
      <c r="I1" s="4" t="s">
        <v>5</v>
      </c>
      <c r="J1" s="6" t="s">
        <v>6</v>
      </c>
      <c r="K1" s="3" t="s">
        <v>7</v>
      </c>
      <c r="L1" s="4" t="s">
        <v>8</v>
      </c>
      <c r="M1" s="4" t="s">
        <v>96</v>
      </c>
    </row>
    <row r="2" spans="1:13" x14ac:dyDescent="0.3">
      <c r="A2" s="64" t="s">
        <v>181</v>
      </c>
      <c r="B2" s="1" t="s">
        <v>182</v>
      </c>
      <c r="C2" s="1">
        <v>1994</v>
      </c>
      <c r="D2" s="1" t="s">
        <v>207</v>
      </c>
      <c r="E2" s="1" t="s">
        <v>183</v>
      </c>
      <c r="F2" s="1" t="s">
        <v>206</v>
      </c>
      <c r="G2" s="1">
        <v>5500000</v>
      </c>
      <c r="H2" s="1">
        <v>1969</v>
      </c>
      <c r="I2" s="1">
        <v>2009</v>
      </c>
      <c r="K2" s="1">
        <v>3310000</v>
      </c>
      <c r="M2" s="1" t="s">
        <v>491</v>
      </c>
    </row>
    <row r="3" spans="1:13" x14ac:dyDescent="0.3">
      <c r="A3" s="64" t="s">
        <v>181</v>
      </c>
      <c r="B3" s="1" t="s">
        <v>182</v>
      </c>
      <c r="C3" s="1">
        <v>1994</v>
      </c>
      <c r="D3" s="1" t="s">
        <v>208</v>
      </c>
      <c r="E3" s="1" t="s">
        <v>183</v>
      </c>
      <c r="F3" s="1" t="s">
        <v>206</v>
      </c>
      <c r="G3" s="1">
        <v>1010000</v>
      </c>
      <c r="H3" s="1">
        <v>1970</v>
      </c>
      <c r="I3" s="1">
        <v>1995</v>
      </c>
      <c r="K3" s="1">
        <v>155000</v>
      </c>
      <c r="M3" s="1" t="s">
        <v>490</v>
      </c>
    </row>
    <row r="4" spans="1:13" x14ac:dyDescent="0.3">
      <c r="A4" s="64" t="s">
        <v>181</v>
      </c>
      <c r="B4" s="1" t="s">
        <v>182</v>
      </c>
      <c r="C4" s="1">
        <v>1994</v>
      </c>
      <c r="D4" s="1" t="s">
        <v>508</v>
      </c>
      <c r="E4" s="1" t="s">
        <v>183</v>
      </c>
      <c r="F4" s="1" t="s">
        <v>508</v>
      </c>
      <c r="G4" s="1">
        <v>74500</v>
      </c>
      <c r="H4" s="1">
        <v>1971</v>
      </c>
      <c r="I4" s="1">
        <v>1976</v>
      </c>
      <c r="K4" s="1">
        <v>0</v>
      </c>
      <c r="M4" s="1" t="s">
        <v>514</v>
      </c>
    </row>
    <row r="5" spans="1:13" x14ac:dyDescent="0.3">
      <c r="A5" s="64" t="s">
        <v>181</v>
      </c>
      <c r="B5" s="1" t="s">
        <v>182</v>
      </c>
      <c r="C5" s="1">
        <v>1994</v>
      </c>
      <c r="D5" s="1" t="s">
        <v>509</v>
      </c>
      <c r="E5" s="1" t="s">
        <v>183</v>
      </c>
      <c r="F5" s="1" t="s">
        <v>507</v>
      </c>
      <c r="G5" s="1">
        <v>306000</v>
      </c>
      <c r="H5" s="1">
        <v>1974</v>
      </c>
      <c r="I5" s="1">
        <v>1974</v>
      </c>
      <c r="J5" s="1">
        <v>0</v>
      </c>
      <c r="K5" s="1">
        <v>0</v>
      </c>
      <c r="M5" s="1" t="s">
        <v>515</v>
      </c>
    </row>
    <row r="6" spans="1:13" x14ac:dyDescent="0.3">
      <c r="A6" s="64" t="s">
        <v>181</v>
      </c>
      <c r="B6" s="1" t="s">
        <v>182</v>
      </c>
      <c r="C6" s="1">
        <v>1994</v>
      </c>
      <c r="D6" s="1" t="s">
        <v>510</v>
      </c>
      <c r="E6" s="1" t="s">
        <v>183</v>
      </c>
      <c r="F6" s="1" t="s">
        <v>507</v>
      </c>
      <c r="G6" s="1">
        <v>60000</v>
      </c>
      <c r="H6" s="1">
        <v>1974</v>
      </c>
      <c r="I6" s="1">
        <v>1974</v>
      </c>
      <c r="J6" s="1">
        <v>0</v>
      </c>
      <c r="K6" s="1">
        <v>0</v>
      </c>
      <c r="M6" s="1" t="s">
        <v>515</v>
      </c>
    </row>
    <row r="7" spans="1:13" x14ac:dyDescent="0.3">
      <c r="A7" s="64" t="s">
        <v>181</v>
      </c>
      <c r="B7" s="1" t="s">
        <v>182</v>
      </c>
      <c r="C7" s="1">
        <v>1994</v>
      </c>
      <c r="D7" s="1" t="s">
        <v>511</v>
      </c>
      <c r="E7" s="1" t="s">
        <v>183</v>
      </c>
      <c r="F7" s="1" t="s">
        <v>513</v>
      </c>
      <c r="G7" s="1">
        <v>420000</v>
      </c>
      <c r="H7" s="1">
        <v>1974</v>
      </c>
      <c r="I7" s="1">
        <v>1974</v>
      </c>
      <c r="J7" s="1">
        <v>0</v>
      </c>
      <c r="K7" s="1">
        <v>0</v>
      </c>
      <c r="M7" s="1" t="s">
        <v>515</v>
      </c>
    </row>
    <row r="8" spans="1:13" x14ac:dyDescent="0.3">
      <c r="A8" s="64" t="s">
        <v>181</v>
      </c>
      <c r="B8" s="1" t="s">
        <v>182</v>
      </c>
      <c r="C8" s="1">
        <v>1994</v>
      </c>
      <c r="D8" s="1" t="s">
        <v>512</v>
      </c>
      <c r="E8" s="1" t="s">
        <v>183</v>
      </c>
      <c r="F8" s="1" t="s">
        <v>507</v>
      </c>
      <c r="G8" s="1">
        <v>50000</v>
      </c>
      <c r="H8" s="1">
        <v>1976</v>
      </c>
      <c r="I8" s="1">
        <v>1976</v>
      </c>
      <c r="J8" s="1">
        <v>0</v>
      </c>
      <c r="K8" s="1">
        <v>0</v>
      </c>
      <c r="M8" s="1" t="s">
        <v>516</v>
      </c>
    </row>
    <row r="9" spans="1:13" x14ac:dyDescent="0.3">
      <c r="A9" s="64" t="s">
        <v>181</v>
      </c>
      <c r="B9" s="1" t="s">
        <v>182</v>
      </c>
      <c r="C9" s="1">
        <v>1994</v>
      </c>
      <c r="D9" s="1" t="s">
        <v>511</v>
      </c>
      <c r="E9" s="1" t="s">
        <v>183</v>
      </c>
      <c r="F9" s="1" t="s">
        <v>513</v>
      </c>
      <c r="G9" s="1">
        <v>200000</v>
      </c>
      <c r="H9" s="1">
        <v>1976</v>
      </c>
      <c r="I9" s="1">
        <v>1976</v>
      </c>
      <c r="J9" s="1">
        <v>0</v>
      </c>
      <c r="K9" s="1">
        <v>0</v>
      </c>
      <c r="M9" s="1" t="s">
        <v>516</v>
      </c>
    </row>
    <row r="10" spans="1:13" x14ac:dyDescent="0.3">
      <c r="A10" s="64" t="s">
        <v>181</v>
      </c>
      <c r="B10" s="1" t="s">
        <v>182</v>
      </c>
      <c r="C10" s="1">
        <v>1994</v>
      </c>
      <c r="D10" s="1" t="s">
        <v>517</v>
      </c>
      <c r="E10" s="1" t="s">
        <v>183</v>
      </c>
      <c r="F10" s="1" t="s">
        <v>517</v>
      </c>
      <c r="G10" s="1">
        <v>1000000</v>
      </c>
      <c r="H10" s="1">
        <v>1978</v>
      </c>
      <c r="K10" s="1">
        <v>0</v>
      </c>
      <c r="M10" s="1" t="s">
        <v>518</v>
      </c>
    </row>
    <row r="11" spans="1:13" x14ac:dyDescent="0.3">
      <c r="A11" s="64" t="s">
        <v>181</v>
      </c>
      <c r="B11" s="1" t="s">
        <v>182</v>
      </c>
      <c r="C11" s="1">
        <v>1994</v>
      </c>
      <c r="D11" s="1" t="s">
        <v>510</v>
      </c>
      <c r="E11" s="1" t="s">
        <v>183</v>
      </c>
      <c r="F11" s="1" t="s">
        <v>507</v>
      </c>
      <c r="G11" s="1">
        <v>50000</v>
      </c>
      <c r="H11" s="1">
        <v>1982</v>
      </c>
      <c r="I11" s="1">
        <v>1982</v>
      </c>
      <c r="J11" s="1">
        <v>0</v>
      </c>
      <c r="K11" s="1">
        <v>0</v>
      </c>
      <c r="M11" s="1" t="s">
        <v>521</v>
      </c>
    </row>
    <row r="12" spans="1:13" x14ac:dyDescent="0.3">
      <c r="A12" s="64" t="s">
        <v>181</v>
      </c>
      <c r="B12" s="1" t="s">
        <v>182</v>
      </c>
      <c r="C12" s="1">
        <v>1994</v>
      </c>
      <c r="D12" s="1" t="s">
        <v>519</v>
      </c>
      <c r="E12" s="1" t="s">
        <v>183</v>
      </c>
      <c r="F12" s="1" t="s">
        <v>507</v>
      </c>
      <c r="G12" s="1">
        <v>200000</v>
      </c>
      <c r="H12" s="1">
        <v>1982</v>
      </c>
      <c r="I12" s="1">
        <v>1982</v>
      </c>
      <c r="J12" s="1">
        <v>0</v>
      </c>
      <c r="K12" s="1">
        <v>0</v>
      </c>
      <c r="M12" s="1" t="s">
        <v>521</v>
      </c>
    </row>
    <row r="13" spans="1:13" x14ac:dyDescent="0.3">
      <c r="A13" s="64" t="s">
        <v>181</v>
      </c>
      <c r="B13" s="1" t="s">
        <v>182</v>
      </c>
      <c r="C13" s="1">
        <v>1994</v>
      </c>
      <c r="D13" s="1" t="s">
        <v>520</v>
      </c>
      <c r="E13" s="1" t="s">
        <v>183</v>
      </c>
      <c r="F13" s="1" t="s">
        <v>507</v>
      </c>
      <c r="G13" s="1">
        <v>66780</v>
      </c>
      <c r="H13" s="1">
        <v>1982</v>
      </c>
      <c r="I13" s="1">
        <v>1982</v>
      </c>
      <c r="J13" s="1">
        <v>0</v>
      </c>
      <c r="K13" s="1">
        <v>0</v>
      </c>
      <c r="M13" s="1" t="s">
        <v>521</v>
      </c>
    </row>
    <row r="14" spans="1:13" x14ac:dyDescent="0.3">
      <c r="A14" s="64" t="s">
        <v>181</v>
      </c>
      <c r="B14" s="1" t="s">
        <v>182</v>
      </c>
      <c r="C14" s="1">
        <v>1994</v>
      </c>
      <c r="D14" s="1" t="s">
        <v>511</v>
      </c>
      <c r="E14" s="1" t="s">
        <v>183</v>
      </c>
      <c r="F14" s="1" t="s">
        <v>513</v>
      </c>
      <c r="H14" s="1">
        <v>1982</v>
      </c>
      <c r="I14" s="1">
        <v>1982</v>
      </c>
      <c r="J14" s="1">
        <v>0</v>
      </c>
      <c r="K14" s="1">
        <v>0</v>
      </c>
      <c r="M14" s="1" t="s">
        <v>521</v>
      </c>
    </row>
    <row r="15" spans="1:13" x14ac:dyDescent="0.3">
      <c r="A15" s="64" t="s">
        <v>181</v>
      </c>
      <c r="B15" s="1" t="s">
        <v>182</v>
      </c>
      <c r="C15" s="1">
        <v>1994</v>
      </c>
      <c r="D15" s="1" t="s">
        <v>508</v>
      </c>
      <c r="E15" s="1" t="s">
        <v>183</v>
      </c>
      <c r="F15" s="1" t="s">
        <v>508</v>
      </c>
      <c r="H15" s="1">
        <v>1982</v>
      </c>
      <c r="I15" s="1">
        <v>1982</v>
      </c>
      <c r="K15" s="1">
        <v>0</v>
      </c>
      <c r="M15" s="1" t="s">
        <v>521</v>
      </c>
    </row>
    <row r="16" spans="1:13" x14ac:dyDescent="0.3">
      <c r="A16" s="64" t="s">
        <v>181</v>
      </c>
      <c r="B16" s="1" t="s">
        <v>182</v>
      </c>
      <c r="C16" s="1">
        <v>1994</v>
      </c>
      <c r="D16" s="1" t="s">
        <v>510</v>
      </c>
      <c r="E16" s="1" t="s">
        <v>183</v>
      </c>
      <c r="F16" s="1" t="s">
        <v>507</v>
      </c>
      <c r="G16" s="1">
        <v>75000</v>
      </c>
      <c r="H16" s="1">
        <v>1983</v>
      </c>
      <c r="I16" s="1">
        <v>1983</v>
      </c>
      <c r="J16" s="1">
        <v>0</v>
      </c>
      <c r="K16" s="1">
        <v>0</v>
      </c>
      <c r="M16" s="1" t="s">
        <v>522</v>
      </c>
    </row>
    <row r="17" spans="1:13" x14ac:dyDescent="0.3">
      <c r="A17" s="64" t="s">
        <v>181</v>
      </c>
      <c r="B17" s="1" t="s">
        <v>182</v>
      </c>
      <c r="C17" s="1">
        <v>1994</v>
      </c>
      <c r="D17" s="1" t="s">
        <v>508</v>
      </c>
      <c r="E17" s="1" t="s">
        <v>183</v>
      </c>
      <c r="F17" s="1" t="s">
        <v>508</v>
      </c>
      <c r="G17" s="1">
        <v>400000</v>
      </c>
      <c r="H17" s="1">
        <v>1983</v>
      </c>
      <c r="I17" s="1">
        <v>1984</v>
      </c>
      <c r="J17" s="1">
        <v>0</v>
      </c>
      <c r="K17" s="1">
        <v>0</v>
      </c>
      <c r="M17" s="1" t="s">
        <v>522</v>
      </c>
    </row>
    <row r="18" spans="1:13" x14ac:dyDescent="0.3">
      <c r="A18" s="64" t="s">
        <v>181</v>
      </c>
      <c r="B18" s="1" t="s">
        <v>182</v>
      </c>
      <c r="C18" s="1">
        <v>1994</v>
      </c>
      <c r="D18" s="1" t="s">
        <v>508</v>
      </c>
      <c r="E18" s="1" t="s">
        <v>183</v>
      </c>
      <c r="F18" s="1" t="s">
        <v>508</v>
      </c>
      <c r="G18" s="1">
        <v>200000</v>
      </c>
      <c r="H18" s="1">
        <v>1984</v>
      </c>
      <c r="I18" s="1">
        <v>1984</v>
      </c>
      <c r="J18" s="1">
        <v>0</v>
      </c>
      <c r="K18" s="1">
        <v>0</v>
      </c>
      <c r="M18" s="1" t="s">
        <v>523</v>
      </c>
    </row>
    <row r="19" spans="1:13" x14ac:dyDescent="0.3">
      <c r="A19" s="64" t="s">
        <v>181</v>
      </c>
      <c r="B19" s="1" t="s">
        <v>182</v>
      </c>
      <c r="C19" s="1">
        <v>1994</v>
      </c>
      <c r="D19" s="1" t="s">
        <v>510</v>
      </c>
      <c r="E19" s="1" t="s">
        <v>183</v>
      </c>
      <c r="F19" s="1" t="s">
        <v>507</v>
      </c>
      <c r="G19" s="1">
        <v>100000</v>
      </c>
      <c r="H19" s="1">
        <v>1987</v>
      </c>
      <c r="I19" s="1">
        <v>1987</v>
      </c>
      <c r="J19" s="1">
        <v>0</v>
      </c>
      <c r="K19" s="1">
        <v>0</v>
      </c>
      <c r="M19" s="1" t="s">
        <v>524</v>
      </c>
    </row>
    <row r="20" spans="1:13" x14ac:dyDescent="0.3">
      <c r="A20" s="64" t="s">
        <v>181</v>
      </c>
      <c r="B20" s="1" t="s">
        <v>182</v>
      </c>
      <c r="C20" s="1">
        <v>1994</v>
      </c>
      <c r="D20" s="1" t="s">
        <v>511</v>
      </c>
      <c r="E20" s="1" t="s">
        <v>183</v>
      </c>
      <c r="F20" s="1" t="s">
        <v>513</v>
      </c>
      <c r="H20" s="1">
        <v>1987</v>
      </c>
      <c r="I20" s="1">
        <v>1988</v>
      </c>
      <c r="K20" s="1">
        <v>0</v>
      </c>
      <c r="M20" s="1" t="s">
        <v>524</v>
      </c>
    </row>
    <row r="21" spans="1:13" x14ac:dyDescent="0.3">
      <c r="A21" s="64" t="s">
        <v>181</v>
      </c>
      <c r="B21" s="1" t="s">
        <v>182</v>
      </c>
      <c r="C21" s="1">
        <v>1994</v>
      </c>
      <c r="D21" s="1" t="s">
        <v>508</v>
      </c>
      <c r="E21" s="1" t="s">
        <v>183</v>
      </c>
      <c r="F21" s="1" t="s">
        <v>508</v>
      </c>
      <c r="H21" s="1">
        <v>1987</v>
      </c>
      <c r="I21" s="1">
        <v>1988</v>
      </c>
      <c r="K21" s="1">
        <v>0</v>
      </c>
      <c r="M21" s="1" t="s">
        <v>524</v>
      </c>
    </row>
    <row r="22" spans="1:13" x14ac:dyDescent="0.3">
      <c r="A22" s="64" t="s">
        <v>181</v>
      </c>
      <c r="B22" s="1" t="s">
        <v>182</v>
      </c>
      <c r="C22" s="1">
        <v>1994</v>
      </c>
      <c r="D22" s="1" t="s">
        <v>525</v>
      </c>
      <c r="E22" s="1" t="s">
        <v>183</v>
      </c>
      <c r="F22" s="1" t="s">
        <v>525</v>
      </c>
      <c r="G22" s="1">
        <f>268000/2</f>
        <v>134000</v>
      </c>
      <c r="H22" s="1">
        <v>1984</v>
      </c>
      <c r="I22" s="1">
        <v>1989</v>
      </c>
      <c r="K22" s="1">
        <v>0</v>
      </c>
      <c r="M22" s="1" t="s">
        <v>526</v>
      </c>
    </row>
    <row r="23" spans="1:13" x14ac:dyDescent="0.3">
      <c r="A23" s="64" t="s">
        <v>181</v>
      </c>
      <c r="B23" s="1" t="s">
        <v>182</v>
      </c>
      <c r="C23" s="1">
        <v>1994</v>
      </c>
      <c r="D23" s="1" t="s">
        <v>511</v>
      </c>
      <c r="E23" s="1" t="s">
        <v>183</v>
      </c>
      <c r="F23" s="1" t="s">
        <v>513</v>
      </c>
      <c r="G23" s="1">
        <f>268000/2</f>
        <v>134000</v>
      </c>
      <c r="H23" s="1">
        <v>1984</v>
      </c>
      <c r="I23" s="1">
        <v>1989</v>
      </c>
      <c r="K23" s="1">
        <v>0</v>
      </c>
      <c r="M23" s="1" t="s">
        <v>526</v>
      </c>
    </row>
    <row r="24" spans="1:13" x14ac:dyDescent="0.3">
      <c r="A24" s="64" t="s">
        <v>181</v>
      </c>
      <c r="B24" s="1" t="s">
        <v>182</v>
      </c>
      <c r="C24" s="1">
        <v>1994</v>
      </c>
      <c r="D24" s="1" t="s">
        <v>528</v>
      </c>
      <c r="E24" s="1" t="s">
        <v>183</v>
      </c>
      <c r="F24" s="1" t="s">
        <v>492</v>
      </c>
      <c r="G24" s="1">
        <v>144675</v>
      </c>
      <c r="H24" s="1">
        <v>1989</v>
      </c>
      <c r="I24" s="1">
        <v>2009</v>
      </c>
      <c r="J24" s="1">
        <v>3</v>
      </c>
      <c r="K24" s="1">
        <v>134149</v>
      </c>
      <c r="M24" s="1" t="s">
        <v>527</v>
      </c>
    </row>
    <row r="25" spans="1:13" x14ac:dyDescent="0.3">
      <c r="A25" s="64" t="s">
        <v>181</v>
      </c>
      <c r="B25" s="1" t="s">
        <v>182</v>
      </c>
      <c r="C25" s="1">
        <v>1994</v>
      </c>
      <c r="D25" s="1" t="s">
        <v>511</v>
      </c>
      <c r="E25" s="1" t="s">
        <v>183</v>
      </c>
      <c r="F25" s="1" t="s">
        <v>513</v>
      </c>
      <c r="H25" s="1">
        <v>1989</v>
      </c>
      <c r="I25" s="1">
        <v>1991</v>
      </c>
      <c r="J25" s="1">
        <v>0</v>
      </c>
      <c r="K25" s="1">
        <v>0</v>
      </c>
      <c r="M25" s="1" t="s">
        <v>527</v>
      </c>
    </row>
    <row r="26" spans="1:13" x14ac:dyDescent="0.3">
      <c r="A26" s="64" t="s">
        <v>181</v>
      </c>
      <c r="B26" s="1" t="s">
        <v>182</v>
      </c>
      <c r="C26" s="1">
        <v>1994</v>
      </c>
      <c r="D26" s="1" t="s">
        <v>508</v>
      </c>
      <c r="E26" s="1" t="s">
        <v>183</v>
      </c>
      <c r="F26" s="1" t="s">
        <v>508</v>
      </c>
      <c r="H26" s="1">
        <v>1989</v>
      </c>
      <c r="I26" s="1">
        <v>1991</v>
      </c>
      <c r="J26" s="1">
        <v>0</v>
      </c>
      <c r="K26" s="1">
        <v>0</v>
      </c>
      <c r="M26" s="1" t="s">
        <v>527</v>
      </c>
    </row>
    <row r="27" spans="1:13" x14ac:dyDescent="0.3">
      <c r="A27" s="64" t="s">
        <v>181</v>
      </c>
      <c r="B27" s="1" t="s">
        <v>182</v>
      </c>
      <c r="C27" s="1">
        <v>1994</v>
      </c>
      <c r="D27" s="1" t="s">
        <v>511</v>
      </c>
      <c r="E27" s="1" t="s">
        <v>183</v>
      </c>
      <c r="F27" s="1" t="s">
        <v>513</v>
      </c>
      <c r="H27" s="1">
        <v>1992</v>
      </c>
      <c r="I27" s="1">
        <v>1993</v>
      </c>
      <c r="J27" s="1">
        <v>0</v>
      </c>
      <c r="K27" s="1">
        <v>0</v>
      </c>
      <c r="M27" s="1" t="s">
        <v>529</v>
      </c>
    </row>
    <row r="28" spans="1:13" x14ac:dyDescent="0.3">
      <c r="A28" s="64" t="s">
        <v>181</v>
      </c>
      <c r="B28" s="1" t="s">
        <v>182</v>
      </c>
      <c r="C28" s="1">
        <v>1994</v>
      </c>
      <c r="D28" s="1" t="s">
        <v>508</v>
      </c>
      <c r="E28" s="1" t="s">
        <v>183</v>
      </c>
      <c r="F28" s="1" t="s">
        <v>508</v>
      </c>
      <c r="H28" s="1">
        <v>1992</v>
      </c>
      <c r="I28" s="1">
        <v>1993</v>
      </c>
      <c r="J28" s="1">
        <v>0</v>
      </c>
      <c r="K28" s="1">
        <v>0</v>
      </c>
      <c r="M28" s="1" t="s">
        <v>529</v>
      </c>
    </row>
    <row r="29" spans="1:13" x14ac:dyDescent="0.3">
      <c r="A29" s="64" t="s">
        <v>181</v>
      </c>
      <c r="B29" s="1" t="s">
        <v>182</v>
      </c>
      <c r="C29" s="1">
        <v>2003</v>
      </c>
      <c r="D29" s="1" t="s">
        <v>207</v>
      </c>
      <c r="E29" s="1" t="s">
        <v>183</v>
      </c>
      <c r="F29" s="1" t="s">
        <v>206</v>
      </c>
      <c r="G29" s="1">
        <v>5500000</v>
      </c>
      <c r="H29" s="1">
        <v>1969</v>
      </c>
      <c r="I29" s="1">
        <v>2009</v>
      </c>
      <c r="K29" s="1">
        <v>0</v>
      </c>
    </row>
    <row r="30" spans="1:13" x14ac:dyDescent="0.3">
      <c r="A30" s="64" t="s">
        <v>181</v>
      </c>
      <c r="B30" s="1" t="s">
        <v>182</v>
      </c>
      <c r="C30" s="1">
        <v>2003</v>
      </c>
      <c r="D30" s="1" t="s">
        <v>208</v>
      </c>
      <c r="E30" s="1" t="s">
        <v>183</v>
      </c>
      <c r="F30" s="1" t="s">
        <v>206</v>
      </c>
      <c r="G30" s="1">
        <v>1010000</v>
      </c>
      <c r="H30" s="1">
        <v>1970</v>
      </c>
      <c r="I30" s="1">
        <v>1995</v>
      </c>
      <c r="K30" s="1">
        <v>155000</v>
      </c>
    </row>
    <row r="31" spans="1:13" x14ac:dyDescent="0.3">
      <c r="A31" s="64" t="s">
        <v>181</v>
      </c>
      <c r="B31" s="1" t="s">
        <v>182</v>
      </c>
      <c r="C31" s="1">
        <v>2003</v>
      </c>
      <c r="D31" s="1" t="s">
        <v>208</v>
      </c>
      <c r="E31" s="1" t="s">
        <v>183</v>
      </c>
      <c r="F31" s="1" t="s">
        <v>206</v>
      </c>
      <c r="G31" s="1">
        <v>3335000</v>
      </c>
      <c r="H31" s="1">
        <v>1994</v>
      </c>
      <c r="I31" s="1">
        <v>2009</v>
      </c>
      <c r="J31" s="1">
        <v>4.17</v>
      </c>
      <c r="K31" s="1">
        <v>1647032</v>
      </c>
      <c r="M31" s="1" t="s">
        <v>551</v>
      </c>
    </row>
    <row r="32" spans="1:13" x14ac:dyDescent="0.3">
      <c r="A32" s="64" t="s">
        <v>181</v>
      </c>
      <c r="B32" s="1" t="s">
        <v>182</v>
      </c>
      <c r="C32" s="1">
        <v>2010</v>
      </c>
      <c r="D32" s="1" t="s">
        <v>209</v>
      </c>
      <c r="E32" s="1" t="s">
        <v>183</v>
      </c>
      <c r="F32" s="1" t="s">
        <v>206</v>
      </c>
      <c r="G32" s="1">
        <v>3335000</v>
      </c>
      <c r="H32" s="1">
        <v>1994</v>
      </c>
      <c r="I32" s="1">
        <v>2009</v>
      </c>
      <c r="J32" s="1">
        <v>4.17</v>
      </c>
      <c r="K32" s="1">
        <v>0</v>
      </c>
      <c r="M32" s="27"/>
    </row>
    <row r="33" spans="1:13" x14ac:dyDescent="0.3">
      <c r="A33" s="64" t="s">
        <v>181</v>
      </c>
      <c r="B33" s="1" t="s">
        <v>182</v>
      </c>
      <c r="C33" s="1">
        <v>2010</v>
      </c>
      <c r="D33" s="25" t="s">
        <v>210</v>
      </c>
      <c r="E33" s="1" t="s">
        <v>183</v>
      </c>
      <c r="F33" s="1" t="s">
        <v>206</v>
      </c>
      <c r="G33" s="1">
        <v>6715000</v>
      </c>
      <c r="H33" s="1">
        <v>2003</v>
      </c>
      <c r="I33" s="1">
        <v>2023</v>
      </c>
      <c r="J33" s="1">
        <v>3.51</v>
      </c>
      <c r="K33" s="1">
        <v>5566392</v>
      </c>
      <c r="M33" s="1" t="s">
        <v>551</v>
      </c>
    </row>
    <row r="34" spans="1:13" x14ac:dyDescent="0.3">
      <c r="A34" s="64" t="s">
        <v>181</v>
      </c>
      <c r="B34" s="1" t="s">
        <v>182</v>
      </c>
      <c r="C34" s="1">
        <v>2017</v>
      </c>
      <c r="D34" s="25" t="s">
        <v>211</v>
      </c>
      <c r="E34" s="1" t="s">
        <v>183</v>
      </c>
      <c r="F34" s="1" t="s">
        <v>206</v>
      </c>
      <c r="G34" s="1">
        <v>3335000</v>
      </c>
      <c r="H34" s="1">
        <v>1994</v>
      </c>
      <c r="I34" s="1">
        <v>2009</v>
      </c>
      <c r="J34" s="1">
        <v>4.17</v>
      </c>
      <c r="K34" s="1">
        <v>0</v>
      </c>
    </row>
    <row r="35" spans="1:13" x14ac:dyDescent="0.3">
      <c r="A35" s="64" t="s">
        <v>181</v>
      </c>
      <c r="B35" s="1" t="s">
        <v>182</v>
      </c>
      <c r="C35" s="1">
        <v>2017</v>
      </c>
      <c r="D35" s="25" t="s">
        <v>211</v>
      </c>
      <c r="E35" s="1" t="s">
        <v>183</v>
      </c>
      <c r="F35" s="1" t="s">
        <v>206</v>
      </c>
      <c r="G35" s="1">
        <v>6715000</v>
      </c>
      <c r="H35" s="1">
        <v>2003</v>
      </c>
      <c r="I35" s="1">
        <v>2023</v>
      </c>
      <c r="J35" s="1">
        <v>3.51</v>
      </c>
      <c r="K35" s="1">
        <v>0</v>
      </c>
    </row>
    <row r="36" spans="1:13" x14ac:dyDescent="0.3">
      <c r="A36" s="64" t="s">
        <v>181</v>
      </c>
      <c r="B36" s="1" t="s">
        <v>182</v>
      </c>
      <c r="C36" s="1">
        <v>2017</v>
      </c>
      <c r="D36" s="25" t="s">
        <v>211</v>
      </c>
      <c r="E36" s="1" t="s">
        <v>183</v>
      </c>
      <c r="F36" s="1" t="s">
        <v>206</v>
      </c>
      <c r="G36" s="1">
        <v>8650000</v>
      </c>
      <c r="H36" s="1">
        <v>2010</v>
      </c>
      <c r="I36" s="1">
        <v>2030</v>
      </c>
      <c r="J36" s="1">
        <v>4.1749999999999998</v>
      </c>
      <c r="K36" s="1">
        <v>6650000</v>
      </c>
    </row>
    <row r="37" spans="1:13" x14ac:dyDescent="0.3">
      <c r="A37" s="64" t="s">
        <v>181</v>
      </c>
      <c r="B37" s="1" t="s">
        <v>182</v>
      </c>
      <c r="C37" s="1">
        <v>1992</v>
      </c>
      <c r="D37" s="25" t="s">
        <v>580</v>
      </c>
      <c r="E37" s="1" t="s">
        <v>381</v>
      </c>
      <c r="F37" s="1" t="s">
        <v>206</v>
      </c>
      <c r="H37" s="1">
        <v>1959</v>
      </c>
      <c r="I37" s="1">
        <v>1999</v>
      </c>
      <c r="J37" s="1">
        <v>4.875</v>
      </c>
      <c r="K37" s="1">
        <v>0</v>
      </c>
    </row>
    <row r="38" spans="1:13" x14ac:dyDescent="0.3">
      <c r="A38" s="64" t="s">
        <v>181</v>
      </c>
      <c r="B38" s="1" t="s">
        <v>182</v>
      </c>
      <c r="C38" s="1">
        <v>1992</v>
      </c>
      <c r="D38" s="25" t="s">
        <v>581</v>
      </c>
      <c r="E38" s="1" t="s">
        <v>381</v>
      </c>
      <c r="F38" s="1" t="s">
        <v>206</v>
      </c>
      <c r="H38" s="1">
        <v>1964</v>
      </c>
      <c r="I38" s="1">
        <v>1986</v>
      </c>
      <c r="J38" s="1">
        <v>3.65</v>
      </c>
      <c r="K38" s="1">
        <v>0</v>
      </c>
    </row>
    <row r="39" spans="1:13" x14ac:dyDescent="0.3">
      <c r="A39" s="64" t="s">
        <v>181</v>
      </c>
      <c r="B39" s="1" t="s">
        <v>182</v>
      </c>
      <c r="C39" s="1">
        <v>1992</v>
      </c>
      <c r="D39" s="25" t="s">
        <v>582</v>
      </c>
      <c r="E39" s="1" t="s">
        <v>381</v>
      </c>
      <c r="F39" s="1" t="s">
        <v>206</v>
      </c>
      <c r="H39" s="1">
        <v>1986</v>
      </c>
      <c r="I39" s="1">
        <v>2006</v>
      </c>
      <c r="J39" s="1">
        <f>AVERAGE(4.5,4.75,5,5.25,5.5,5.75,6,6.2,6.4,6.5)</f>
        <v>5.585</v>
      </c>
    </row>
    <row r="40" spans="1:13" x14ac:dyDescent="0.3">
      <c r="A40" s="64" t="s">
        <v>181</v>
      </c>
      <c r="B40" s="1" t="s">
        <v>182</v>
      </c>
      <c r="D40" s="25" t="s">
        <v>391</v>
      </c>
      <c r="E40" s="1" t="s">
        <v>381</v>
      </c>
      <c r="F40" s="1" t="s">
        <v>492</v>
      </c>
      <c r="G40" s="1">
        <v>260000</v>
      </c>
      <c r="H40" s="1">
        <v>1990</v>
      </c>
      <c r="I40" s="1">
        <v>2010</v>
      </c>
      <c r="J40" s="1">
        <v>3</v>
      </c>
    </row>
    <row r="41" spans="1:13" x14ac:dyDescent="0.3">
      <c r="A41" s="64" t="s">
        <v>181</v>
      </c>
      <c r="B41" s="1" t="s">
        <v>182</v>
      </c>
      <c r="C41" s="1">
        <v>2002</v>
      </c>
      <c r="D41" s="1" t="s">
        <v>391</v>
      </c>
      <c r="E41" s="1" t="s">
        <v>381</v>
      </c>
      <c r="F41" s="1" t="s">
        <v>492</v>
      </c>
      <c r="G41" s="1">
        <v>5908255</v>
      </c>
      <c r="H41" s="1">
        <v>2001</v>
      </c>
      <c r="I41" s="23">
        <v>2021</v>
      </c>
      <c r="J41" s="1">
        <v>1</v>
      </c>
      <c r="K41" s="1">
        <v>5908255</v>
      </c>
      <c r="L41" s="23"/>
      <c r="M41" s="1" t="s">
        <v>585</v>
      </c>
    </row>
    <row r="42" spans="1:13" x14ac:dyDescent="0.3">
      <c r="A42" s="64" t="s">
        <v>181</v>
      </c>
      <c r="B42" s="1" t="s">
        <v>182</v>
      </c>
      <c r="C42" s="1">
        <v>2002</v>
      </c>
      <c r="D42" s="1" t="s">
        <v>590</v>
      </c>
      <c r="E42" s="1" t="s">
        <v>381</v>
      </c>
      <c r="F42" s="1" t="s">
        <v>206</v>
      </c>
      <c r="G42" s="1">
        <v>2885000</v>
      </c>
      <c r="H42" s="1">
        <v>1992</v>
      </c>
      <c r="I42" s="23">
        <v>2004</v>
      </c>
      <c r="J42" s="1">
        <v>4.12</v>
      </c>
      <c r="K42" s="1">
        <v>719284</v>
      </c>
      <c r="L42" s="23"/>
    </row>
    <row r="43" spans="1:13" x14ac:dyDescent="0.3">
      <c r="A43" s="64" t="s">
        <v>181</v>
      </c>
      <c r="B43" s="1" t="s">
        <v>182</v>
      </c>
      <c r="C43" s="1">
        <v>2002</v>
      </c>
      <c r="D43" s="1" t="s">
        <v>591</v>
      </c>
      <c r="E43" s="1" t="s">
        <v>381</v>
      </c>
      <c r="F43" s="1" t="s">
        <v>206</v>
      </c>
      <c r="H43" s="1">
        <v>1998</v>
      </c>
      <c r="I43" s="23"/>
      <c r="K43" s="1">
        <v>723252</v>
      </c>
      <c r="L43" s="23"/>
    </row>
    <row r="44" spans="1:13" x14ac:dyDescent="0.3">
      <c r="A44" s="64" t="s">
        <v>181</v>
      </c>
      <c r="B44" s="1" t="s">
        <v>182</v>
      </c>
      <c r="C44" s="1">
        <v>2010</v>
      </c>
      <c r="D44" s="1" t="s">
        <v>391</v>
      </c>
      <c r="E44" s="1" t="s">
        <v>381</v>
      </c>
      <c r="F44" s="1" t="s">
        <v>492</v>
      </c>
      <c r="G44" s="1">
        <v>5908255</v>
      </c>
      <c r="H44" s="1">
        <v>2001</v>
      </c>
      <c r="I44" s="23">
        <v>2021</v>
      </c>
      <c r="J44" s="1">
        <v>1</v>
      </c>
      <c r="K44" s="1">
        <v>4013433</v>
      </c>
      <c r="L44" s="23"/>
    </row>
    <row r="45" spans="1:13" x14ac:dyDescent="0.3">
      <c r="A45" s="64" t="s">
        <v>181</v>
      </c>
      <c r="B45" s="1" t="s">
        <v>182</v>
      </c>
      <c r="C45" s="1">
        <v>2015</v>
      </c>
      <c r="D45" s="1" t="s">
        <v>390</v>
      </c>
      <c r="E45" s="1" t="s">
        <v>381</v>
      </c>
      <c r="F45" s="1" t="s">
        <v>206</v>
      </c>
      <c r="G45" s="1">
        <v>530000</v>
      </c>
      <c r="H45" s="1">
        <v>2010</v>
      </c>
      <c r="I45" s="1">
        <v>2021</v>
      </c>
      <c r="J45" s="1">
        <v>2.0699999999999998</v>
      </c>
      <c r="K45" s="1">
        <v>634790</v>
      </c>
    </row>
    <row r="46" spans="1:13" x14ac:dyDescent="0.3">
      <c r="A46" s="64" t="s">
        <v>181</v>
      </c>
      <c r="B46" s="1" t="s">
        <v>182</v>
      </c>
      <c r="C46" s="1">
        <v>2015</v>
      </c>
      <c r="D46" s="1" t="s">
        <v>391</v>
      </c>
      <c r="E46" s="1" t="s">
        <v>381</v>
      </c>
      <c r="F46" s="1" t="s">
        <v>492</v>
      </c>
      <c r="G46" s="1">
        <v>2931407</v>
      </c>
      <c r="H46" s="1">
        <v>2001</v>
      </c>
      <c r="I46" s="23">
        <v>2021</v>
      </c>
      <c r="J46" s="1">
        <v>1</v>
      </c>
      <c r="K46" s="1">
        <v>2931338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53" workbookViewId="0">
      <selection activeCell="I92" sqref="I92"/>
    </sheetView>
  </sheetViews>
  <sheetFormatPr defaultColWidth="8.77734375" defaultRowHeight="14.4" x14ac:dyDescent="0.3"/>
  <cols>
    <col min="1" max="4" width="8.77734375" style="1"/>
    <col min="5" max="5" width="5" style="1" bestFit="1" customWidth="1"/>
    <col min="6" max="9" width="8.77734375" style="1"/>
    <col min="10" max="10" width="15" style="1" bestFit="1" customWidth="1"/>
    <col min="11" max="13" width="8.77734375" style="1"/>
    <col min="14" max="14" width="10.109375" style="1" bestFit="1" customWidth="1"/>
    <col min="15" max="15" width="8.77734375" style="1"/>
    <col min="16" max="16" width="10.109375" style="1" bestFit="1" customWidth="1"/>
    <col min="17" max="17" width="8.77734375" style="1"/>
    <col min="18" max="18" width="10.6640625" style="1" bestFit="1" customWidth="1"/>
    <col min="19" max="19" width="11.6640625" style="1" bestFit="1" customWidth="1"/>
    <col min="20" max="16384" width="8.77734375" style="1"/>
  </cols>
  <sheetData>
    <row r="1" spans="1:11" x14ac:dyDescent="0.3">
      <c r="A1" s="18" t="s">
        <v>0</v>
      </c>
      <c r="B1" s="18" t="s">
        <v>27</v>
      </c>
      <c r="C1" s="18" t="s">
        <v>2</v>
      </c>
      <c r="D1" s="18" t="s">
        <v>24</v>
      </c>
      <c r="E1" s="18" t="s">
        <v>110</v>
      </c>
      <c r="F1" s="18" t="s">
        <v>116</v>
      </c>
      <c r="G1" s="18" t="s">
        <v>104</v>
      </c>
      <c r="H1" s="18" t="s">
        <v>117</v>
      </c>
      <c r="I1" s="18" t="s">
        <v>118</v>
      </c>
      <c r="J1" s="18" t="s">
        <v>119</v>
      </c>
      <c r="K1" s="18" t="s">
        <v>96</v>
      </c>
    </row>
    <row r="2" spans="1:11" s="19" customFormat="1" x14ac:dyDescent="0.3">
      <c r="A2" s="20" t="s">
        <v>181</v>
      </c>
      <c r="B2" s="1" t="s">
        <v>182</v>
      </c>
      <c r="C2" s="26">
        <v>1994</v>
      </c>
      <c r="D2" s="26" t="s">
        <v>183</v>
      </c>
      <c r="E2" s="26">
        <v>1995</v>
      </c>
      <c r="F2" s="26">
        <v>50000</v>
      </c>
      <c r="G2" s="26">
        <v>144475</v>
      </c>
      <c r="H2" s="26">
        <f>SUM(F2:G2)</f>
        <v>194475</v>
      </c>
      <c r="I2" s="26" t="s">
        <v>194</v>
      </c>
      <c r="J2" s="26" t="s">
        <v>194</v>
      </c>
      <c r="K2" s="1"/>
    </row>
    <row r="3" spans="1:11" s="19" customFormat="1" x14ac:dyDescent="0.3">
      <c r="A3" s="20" t="s">
        <v>181</v>
      </c>
      <c r="B3" s="1" t="s">
        <v>182</v>
      </c>
      <c r="C3" s="26">
        <v>1994</v>
      </c>
      <c r="D3" s="26" t="s">
        <v>183</v>
      </c>
      <c r="E3" s="19">
        <v>1996</v>
      </c>
      <c r="F3" s="26">
        <v>180000</v>
      </c>
      <c r="G3" s="26">
        <v>143025</v>
      </c>
      <c r="H3" s="26">
        <f t="shared" ref="H3:H16" si="0">SUM(F3:G3)</f>
        <v>323025</v>
      </c>
      <c r="I3" s="26" t="s">
        <v>194</v>
      </c>
      <c r="J3" s="26" t="s">
        <v>194</v>
      </c>
      <c r="K3" s="26"/>
    </row>
    <row r="4" spans="1:11" s="19" customFormat="1" x14ac:dyDescent="0.3">
      <c r="A4" s="20" t="s">
        <v>181</v>
      </c>
      <c r="B4" s="1" t="s">
        <v>182</v>
      </c>
      <c r="C4" s="26">
        <v>1994</v>
      </c>
      <c r="D4" s="26" t="s">
        <v>183</v>
      </c>
      <c r="E4" s="26">
        <v>1997</v>
      </c>
      <c r="F4" s="26">
        <v>185000</v>
      </c>
      <c r="G4" s="26">
        <v>137355</v>
      </c>
      <c r="H4" s="26">
        <f t="shared" si="0"/>
        <v>322355</v>
      </c>
      <c r="I4" s="26" t="s">
        <v>194</v>
      </c>
      <c r="J4" s="26" t="s">
        <v>194</v>
      </c>
      <c r="K4" s="26"/>
    </row>
    <row r="5" spans="1:11" s="19" customFormat="1" x14ac:dyDescent="0.3">
      <c r="A5" s="20" t="s">
        <v>181</v>
      </c>
      <c r="B5" s="1" t="s">
        <v>182</v>
      </c>
      <c r="C5" s="26">
        <v>1994</v>
      </c>
      <c r="D5" s="26" t="s">
        <v>183</v>
      </c>
      <c r="E5" s="19">
        <v>1998</v>
      </c>
      <c r="F5" s="26">
        <v>195000</v>
      </c>
      <c r="G5" s="26">
        <v>131065</v>
      </c>
      <c r="H5" s="26">
        <f t="shared" si="0"/>
        <v>326065</v>
      </c>
      <c r="I5" s="26" t="s">
        <v>194</v>
      </c>
      <c r="J5" s="26" t="s">
        <v>194</v>
      </c>
      <c r="K5" s="26"/>
    </row>
    <row r="6" spans="1:11" s="19" customFormat="1" x14ac:dyDescent="0.3">
      <c r="A6" s="20" t="s">
        <v>181</v>
      </c>
      <c r="B6" s="1" t="s">
        <v>182</v>
      </c>
      <c r="C6" s="26">
        <v>1994</v>
      </c>
      <c r="D6" s="26" t="s">
        <v>183</v>
      </c>
      <c r="E6" s="26">
        <v>1999</v>
      </c>
      <c r="F6" s="26">
        <v>200000</v>
      </c>
      <c r="G6" s="26">
        <v>124045</v>
      </c>
      <c r="H6" s="26">
        <f t="shared" si="0"/>
        <v>324045</v>
      </c>
      <c r="I6" s="26" t="s">
        <v>194</v>
      </c>
      <c r="J6" s="26" t="s">
        <v>194</v>
      </c>
      <c r="K6" s="26"/>
    </row>
    <row r="7" spans="1:11" s="19" customFormat="1" x14ac:dyDescent="0.3">
      <c r="A7" s="20" t="s">
        <v>181</v>
      </c>
      <c r="B7" s="1" t="s">
        <v>182</v>
      </c>
      <c r="C7" s="26">
        <v>1994</v>
      </c>
      <c r="D7" s="26" t="s">
        <v>183</v>
      </c>
      <c r="E7" s="19">
        <v>2000</v>
      </c>
      <c r="F7" s="26">
        <v>210000</v>
      </c>
      <c r="G7" s="26">
        <v>116445</v>
      </c>
      <c r="H7" s="26">
        <f t="shared" si="0"/>
        <v>326445</v>
      </c>
      <c r="I7" s="26" t="s">
        <v>194</v>
      </c>
      <c r="J7" s="26" t="s">
        <v>194</v>
      </c>
      <c r="K7" s="26"/>
    </row>
    <row r="8" spans="1:11" s="19" customFormat="1" x14ac:dyDescent="0.3">
      <c r="A8" s="20" t="s">
        <v>181</v>
      </c>
      <c r="B8" s="1" t="s">
        <v>182</v>
      </c>
      <c r="C8" s="26">
        <v>1994</v>
      </c>
      <c r="D8" s="26" t="s">
        <v>183</v>
      </c>
      <c r="E8" s="26">
        <v>2001</v>
      </c>
      <c r="F8" s="26">
        <v>215000</v>
      </c>
      <c r="G8" s="26">
        <v>108045</v>
      </c>
      <c r="H8" s="26">
        <f t="shared" si="0"/>
        <v>323045</v>
      </c>
      <c r="I8" s="26" t="s">
        <v>194</v>
      </c>
      <c r="J8" s="26" t="s">
        <v>194</v>
      </c>
      <c r="K8" s="26"/>
    </row>
    <row r="9" spans="1:11" s="19" customFormat="1" x14ac:dyDescent="0.3">
      <c r="A9" s="20" t="s">
        <v>181</v>
      </c>
      <c r="B9" s="1" t="s">
        <v>182</v>
      </c>
      <c r="C9" s="26">
        <v>1994</v>
      </c>
      <c r="D9" s="26" t="s">
        <v>183</v>
      </c>
      <c r="E9" s="19">
        <v>2002</v>
      </c>
      <c r="F9" s="26">
        <v>225000</v>
      </c>
      <c r="G9" s="26">
        <v>99123</v>
      </c>
      <c r="H9" s="26">
        <f t="shared" si="0"/>
        <v>324123</v>
      </c>
      <c r="I9" s="26" t="s">
        <v>194</v>
      </c>
      <c r="J9" s="26" t="s">
        <v>194</v>
      </c>
      <c r="K9" s="26"/>
    </row>
    <row r="10" spans="1:11" s="19" customFormat="1" x14ac:dyDescent="0.3">
      <c r="A10" s="20" t="s">
        <v>181</v>
      </c>
      <c r="B10" s="1" t="s">
        <v>182</v>
      </c>
      <c r="C10" s="26">
        <v>1994</v>
      </c>
      <c r="D10" s="26" t="s">
        <v>183</v>
      </c>
      <c r="E10" s="26">
        <v>2003</v>
      </c>
      <c r="F10" s="26">
        <v>235000</v>
      </c>
      <c r="G10" s="26">
        <v>89447</v>
      </c>
      <c r="H10" s="26">
        <f t="shared" si="0"/>
        <v>324447</v>
      </c>
      <c r="I10" s="26" t="s">
        <v>194</v>
      </c>
      <c r="J10" s="26" t="s">
        <v>194</v>
      </c>
      <c r="K10" s="26"/>
    </row>
    <row r="11" spans="1:11" s="19" customFormat="1" x14ac:dyDescent="0.3">
      <c r="A11" s="20" t="s">
        <v>181</v>
      </c>
      <c r="B11" s="1" t="s">
        <v>182</v>
      </c>
      <c r="C11" s="26">
        <v>1994</v>
      </c>
      <c r="D11" s="26" t="s">
        <v>183</v>
      </c>
      <c r="E11" s="19">
        <v>2004</v>
      </c>
      <c r="F11" s="26">
        <v>245000</v>
      </c>
      <c r="G11" s="26">
        <v>79108</v>
      </c>
      <c r="H11" s="26">
        <f t="shared" si="0"/>
        <v>324108</v>
      </c>
      <c r="I11" s="26" t="s">
        <v>194</v>
      </c>
      <c r="J11" s="26" t="s">
        <v>194</v>
      </c>
      <c r="K11" s="26"/>
    </row>
    <row r="12" spans="1:11" s="19" customFormat="1" x14ac:dyDescent="0.3">
      <c r="A12" s="20" t="s">
        <v>181</v>
      </c>
      <c r="B12" s="1" t="s">
        <v>182</v>
      </c>
      <c r="C12" s="26">
        <v>1994</v>
      </c>
      <c r="D12" s="26" t="s">
        <v>183</v>
      </c>
      <c r="E12" s="26">
        <v>2005</v>
      </c>
      <c r="F12" s="26">
        <v>255000</v>
      </c>
      <c r="G12" s="26">
        <v>68082</v>
      </c>
      <c r="H12" s="26">
        <f t="shared" si="0"/>
        <v>323082</v>
      </c>
      <c r="I12" s="26" t="s">
        <v>194</v>
      </c>
      <c r="J12" s="26" t="s">
        <v>194</v>
      </c>
      <c r="K12" s="26"/>
    </row>
    <row r="13" spans="1:11" s="19" customFormat="1" x14ac:dyDescent="0.3">
      <c r="A13" s="20" t="s">
        <v>181</v>
      </c>
      <c r="B13" s="1" t="s">
        <v>182</v>
      </c>
      <c r="C13" s="26">
        <v>1994</v>
      </c>
      <c r="D13" s="26" t="s">
        <v>183</v>
      </c>
      <c r="E13" s="19">
        <v>2006</v>
      </c>
      <c r="F13" s="26">
        <v>265000</v>
      </c>
      <c r="G13" s="26">
        <v>56225</v>
      </c>
      <c r="H13" s="26">
        <f t="shared" si="0"/>
        <v>321225</v>
      </c>
      <c r="I13" s="26" t="s">
        <v>194</v>
      </c>
      <c r="J13" s="26" t="s">
        <v>194</v>
      </c>
      <c r="K13" s="26"/>
    </row>
    <row r="14" spans="1:11" s="19" customFormat="1" x14ac:dyDescent="0.3">
      <c r="A14" s="20" t="s">
        <v>181</v>
      </c>
      <c r="B14" s="1" t="s">
        <v>182</v>
      </c>
      <c r="C14" s="26">
        <v>1994</v>
      </c>
      <c r="D14" s="26" t="s">
        <v>183</v>
      </c>
      <c r="E14" s="26">
        <v>2007</v>
      </c>
      <c r="F14" s="26">
        <v>275000</v>
      </c>
      <c r="G14" s="26">
        <v>43638</v>
      </c>
      <c r="H14" s="26">
        <f t="shared" si="0"/>
        <v>318638</v>
      </c>
      <c r="I14" s="26" t="s">
        <v>194</v>
      </c>
      <c r="J14" s="26" t="s">
        <v>194</v>
      </c>
      <c r="K14" s="26"/>
    </row>
    <row r="15" spans="1:11" s="19" customFormat="1" x14ac:dyDescent="0.3">
      <c r="A15" s="20" t="s">
        <v>181</v>
      </c>
      <c r="B15" s="1" t="s">
        <v>182</v>
      </c>
      <c r="C15" s="26">
        <v>1994</v>
      </c>
      <c r="D15" s="26" t="s">
        <v>183</v>
      </c>
      <c r="E15" s="19">
        <v>2008</v>
      </c>
      <c r="F15" s="26">
        <v>295000</v>
      </c>
      <c r="G15" s="26">
        <v>30300</v>
      </c>
      <c r="H15" s="26">
        <f t="shared" si="0"/>
        <v>325300</v>
      </c>
      <c r="I15" s="26" t="s">
        <v>194</v>
      </c>
      <c r="J15" s="26" t="s">
        <v>194</v>
      </c>
      <c r="K15" s="26"/>
    </row>
    <row r="16" spans="1:11" s="19" customFormat="1" x14ac:dyDescent="0.3">
      <c r="A16" s="20" t="s">
        <v>181</v>
      </c>
      <c r="B16" s="1" t="s">
        <v>182</v>
      </c>
      <c r="C16" s="26">
        <v>1994</v>
      </c>
      <c r="D16" s="26" t="s">
        <v>183</v>
      </c>
      <c r="E16" s="26">
        <v>2009</v>
      </c>
      <c r="F16" s="26">
        <v>305000</v>
      </c>
      <c r="G16" s="26">
        <v>15402</v>
      </c>
      <c r="H16" s="26">
        <f t="shared" si="0"/>
        <v>320402</v>
      </c>
      <c r="I16" s="26" t="s">
        <v>194</v>
      </c>
      <c r="J16" s="26" t="s">
        <v>194</v>
      </c>
      <c r="K16" s="26"/>
    </row>
    <row r="17" spans="1:11" s="19" customFormat="1" x14ac:dyDescent="0.3">
      <c r="A17" s="20" t="s">
        <v>181</v>
      </c>
      <c r="B17" s="1" t="s">
        <v>182</v>
      </c>
      <c r="C17" s="1">
        <v>2003</v>
      </c>
      <c r="D17" s="26" t="s">
        <v>183</v>
      </c>
      <c r="E17" s="26">
        <v>2003</v>
      </c>
      <c r="F17" s="26">
        <v>0</v>
      </c>
      <c r="G17" s="26">
        <v>124098</v>
      </c>
      <c r="H17" s="26">
        <f>SUM(F17:G17)</f>
        <v>124098</v>
      </c>
      <c r="I17" s="26" t="s">
        <v>194</v>
      </c>
      <c r="J17" s="26" t="s">
        <v>194</v>
      </c>
      <c r="K17" s="26"/>
    </row>
    <row r="18" spans="1:11" x14ac:dyDescent="0.3">
      <c r="A18" s="20" t="s">
        <v>181</v>
      </c>
      <c r="B18" s="1" t="s">
        <v>182</v>
      </c>
      <c r="C18" s="1">
        <v>2003</v>
      </c>
      <c r="D18" s="26" t="s">
        <v>183</v>
      </c>
      <c r="E18" s="1">
        <v>2004</v>
      </c>
      <c r="F18" s="1">
        <v>25000</v>
      </c>
      <c r="G18" s="1">
        <f>134564+134407</f>
        <v>268971</v>
      </c>
      <c r="H18" s="26">
        <f t="shared" ref="H18:H37" si="1">SUM(F18:G18)</f>
        <v>293971</v>
      </c>
      <c r="I18" s="26" t="s">
        <v>194</v>
      </c>
      <c r="J18" s="26" t="s">
        <v>194</v>
      </c>
    </row>
    <row r="19" spans="1:11" x14ac:dyDescent="0.3">
      <c r="A19" s="20" t="s">
        <v>181</v>
      </c>
      <c r="B19" s="1" t="s">
        <v>182</v>
      </c>
      <c r="C19" s="1">
        <v>2003</v>
      </c>
      <c r="D19" s="26" t="s">
        <v>183</v>
      </c>
      <c r="E19" s="1">
        <v>2005</v>
      </c>
      <c r="F19" s="1">
        <v>40000</v>
      </c>
      <c r="G19" s="1">
        <f>134408+134117</f>
        <v>268525</v>
      </c>
      <c r="H19" s="26">
        <f t="shared" si="1"/>
        <v>308525</v>
      </c>
      <c r="I19" s="26" t="s">
        <v>194</v>
      </c>
      <c r="J19" s="26" t="s">
        <v>194</v>
      </c>
    </row>
    <row r="20" spans="1:11" x14ac:dyDescent="0.3">
      <c r="A20" s="20" t="s">
        <v>181</v>
      </c>
      <c r="B20" s="1" t="s">
        <v>182</v>
      </c>
      <c r="C20" s="1">
        <v>2003</v>
      </c>
      <c r="D20" s="26" t="s">
        <v>183</v>
      </c>
      <c r="E20" s="1">
        <v>2006</v>
      </c>
      <c r="F20" s="1">
        <v>40000</v>
      </c>
      <c r="G20" s="1">
        <f>134118+133747</f>
        <v>267865</v>
      </c>
      <c r="H20" s="26">
        <f t="shared" si="1"/>
        <v>307865</v>
      </c>
      <c r="I20" s="26" t="s">
        <v>194</v>
      </c>
      <c r="J20" s="26" t="s">
        <v>194</v>
      </c>
    </row>
    <row r="21" spans="1:11" x14ac:dyDescent="0.3">
      <c r="A21" s="20" t="s">
        <v>181</v>
      </c>
      <c r="B21" s="1" t="s">
        <v>182</v>
      </c>
      <c r="C21" s="1">
        <v>2003</v>
      </c>
      <c r="D21" s="26" t="s">
        <v>183</v>
      </c>
      <c r="E21" s="1">
        <v>2007</v>
      </c>
      <c r="F21" s="1">
        <v>220000</v>
      </c>
      <c r="G21" s="1">
        <f>133748+131327</f>
        <v>265075</v>
      </c>
      <c r="H21" s="26">
        <f t="shared" si="1"/>
        <v>485075</v>
      </c>
      <c r="I21" s="26" t="s">
        <v>194</v>
      </c>
      <c r="J21" s="26" t="s">
        <v>194</v>
      </c>
    </row>
    <row r="22" spans="1:11" x14ac:dyDescent="0.3">
      <c r="A22" s="20" t="s">
        <v>181</v>
      </c>
      <c r="B22" s="1" t="s">
        <v>182</v>
      </c>
      <c r="C22" s="1">
        <v>2003</v>
      </c>
      <c r="D22" s="26" t="s">
        <v>183</v>
      </c>
      <c r="E22" s="1">
        <v>2008</v>
      </c>
      <c r="F22" s="1">
        <v>275000</v>
      </c>
      <c r="G22" s="1">
        <f>131328+127752</f>
        <v>259080</v>
      </c>
      <c r="H22" s="26">
        <f t="shared" si="1"/>
        <v>534080</v>
      </c>
      <c r="I22" s="26" t="s">
        <v>194</v>
      </c>
      <c r="J22" s="26" t="s">
        <v>194</v>
      </c>
    </row>
    <row r="23" spans="1:11" x14ac:dyDescent="0.3">
      <c r="A23" s="20" t="s">
        <v>181</v>
      </c>
      <c r="B23" s="1" t="s">
        <v>182</v>
      </c>
      <c r="C23" s="1">
        <v>2003</v>
      </c>
      <c r="D23" s="26" t="s">
        <v>183</v>
      </c>
      <c r="E23" s="1">
        <v>2009</v>
      </c>
      <c r="F23" s="1">
        <v>285000</v>
      </c>
      <c r="G23" s="1">
        <f>127753+123477</f>
        <v>251230</v>
      </c>
      <c r="H23" s="26">
        <f t="shared" si="1"/>
        <v>536230</v>
      </c>
      <c r="I23" s="26" t="s">
        <v>194</v>
      </c>
      <c r="J23" s="26" t="s">
        <v>194</v>
      </c>
    </row>
    <row r="24" spans="1:11" x14ac:dyDescent="0.3">
      <c r="A24" s="20" t="s">
        <v>181</v>
      </c>
      <c r="B24" s="1" t="s">
        <v>182</v>
      </c>
      <c r="C24" s="1">
        <v>2003</v>
      </c>
      <c r="D24" s="26" t="s">
        <v>183</v>
      </c>
      <c r="E24" s="1">
        <v>2010</v>
      </c>
      <c r="F24" s="1">
        <v>290000</v>
      </c>
      <c r="G24" s="1">
        <f>123478+118765</f>
        <v>242243</v>
      </c>
      <c r="H24" s="26">
        <f t="shared" si="1"/>
        <v>532243</v>
      </c>
      <c r="I24" s="26" t="s">
        <v>194</v>
      </c>
      <c r="J24" s="26" t="s">
        <v>194</v>
      </c>
    </row>
    <row r="25" spans="1:11" x14ac:dyDescent="0.3">
      <c r="A25" s="20" t="s">
        <v>181</v>
      </c>
      <c r="B25" s="1" t="s">
        <v>182</v>
      </c>
      <c r="C25" s="1">
        <v>2003</v>
      </c>
      <c r="D25" s="26" t="s">
        <v>183</v>
      </c>
      <c r="E25" s="1">
        <v>2011</v>
      </c>
      <c r="F25" s="1">
        <v>300000</v>
      </c>
      <c r="G25" s="1">
        <f>118765+113515</f>
        <v>232280</v>
      </c>
      <c r="H25" s="26">
        <f t="shared" si="1"/>
        <v>532280</v>
      </c>
      <c r="I25" s="26" t="s">
        <v>194</v>
      </c>
      <c r="J25" s="26" t="s">
        <v>194</v>
      </c>
    </row>
    <row r="26" spans="1:11" x14ac:dyDescent="0.3">
      <c r="A26" s="20" t="s">
        <v>181</v>
      </c>
      <c r="B26" s="1" t="s">
        <v>182</v>
      </c>
      <c r="C26" s="1">
        <v>2003</v>
      </c>
      <c r="D26" s="26" t="s">
        <v>183</v>
      </c>
      <c r="E26" s="1">
        <v>2012</v>
      </c>
      <c r="F26" s="1">
        <v>310000</v>
      </c>
      <c r="G26" s="1">
        <f>113515+107703</f>
        <v>221218</v>
      </c>
      <c r="H26" s="26">
        <f t="shared" si="1"/>
        <v>531218</v>
      </c>
      <c r="I26" s="26" t="s">
        <v>194</v>
      </c>
      <c r="J26" s="26" t="s">
        <v>194</v>
      </c>
    </row>
    <row r="27" spans="1:11" x14ac:dyDescent="0.3">
      <c r="A27" s="20" t="s">
        <v>181</v>
      </c>
      <c r="B27" s="1" t="s">
        <v>182</v>
      </c>
      <c r="C27" s="1">
        <v>2003</v>
      </c>
      <c r="D27" s="26" t="s">
        <v>183</v>
      </c>
      <c r="E27" s="1">
        <v>2013</v>
      </c>
      <c r="F27" s="1">
        <v>325000</v>
      </c>
      <c r="G27" s="1">
        <f>107702+101528</f>
        <v>209230</v>
      </c>
      <c r="H27" s="26">
        <f t="shared" si="1"/>
        <v>534230</v>
      </c>
      <c r="I27" s="26" t="s">
        <v>194</v>
      </c>
      <c r="J27" s="26" t="s">
        <v>194</v>
      </c>
    </row>
    <row r="28" spans="1:11" x14ac:dyDescent="0.3">
      <c r="A28" s="20" t="s">
        <v>181</v>
      </c>
      <c r="B28" s="1" t="s">
        <v>182</v>
      </c>
      <c r="C28" s="1">
        <v>2003</v>
      </c>
      <c r="D28" s="26" t="s">
        <v>183</v>
      </c>
      <c r="E28" s="1">
        <v>2014</v>
      </c>
      <c r="F28" s="1">
        <v>335000</v>
      </c>
      <c r="G28" s="1">
        <f>101527+94827</f>
        <v>196354</v>
      </c>
      <c r="H28" s="26">
        <f t="shared" si="1"/>
        <v>531354</v>
      </c>
      <c r="I28" s="26" t="s">
        <v>194</v>
      </c>
      <c r="J28" s="26" t="s">
        <v>194</v>
      </c>
    </row>
    <row r="29" spans="1:11" x14ac:dyDescent="0.3">
      <c r="A29" s="20" t="s">
        <v>181</v>
      </c>
      <c r="B29" s="1" t="s">
        <v>182</v>
      </c>
      <c r="C29" s="1">
        <v>2003</v>
      </c>
      <c r="D29" s="26" t="s">
        <v>183</v>
      </c>
      <c r="E29" s="1">
        <v>2015</v>
      </c>
      <c r="F29" s="1">
        <v>350000</v>
      </c>
      <c r="G29" s="1">
        <f>94828+87827</f>
        <v>182655</v>
      </c>
      <c r="H29" s="26">
        <f t="shared" si="1"/>
        <v>532655</v>
      </c>
      <c r="I29" s="26" t="s">
        <v>194</v>
      </c>
      <c r="J29" s="26" t="s">
        <v>194</v>
      </c>
    </row>
    <row r="30" spans="1:11" x14ac:dyDescent="0.3">
      <c r="A30" s="20" t="s">
        <v>181</v>
      </c>
      <c r="B30" s="1" t="s">
        <v>182</v>
      </c>
      <c r="C30" s="1">
        <v>2003</v>
      </c>
      <c r="D30" s="26" t="s">
        <v>183</v>
      </c>
      <c r="E30" s="1">
        <v>2016</v>
      </c>
      <c r="F30" s="1">
        <v>360000</v>
      </c>
      <c r="G30" s="1">
        <f>87828+80267</f>
        <v>168095</v>
      </c>
      <c r="H30" s="26">
        <f t="shared" si="1"/>
        <v>528095</v>
      </c>
      <c r="I30" s="26" t="s">
        <v>194</v>
      </c>
      <c r="J30" s="26" t="s">
        <v>194</v>
      </c>
    </row>
    <row r="31" spans="1:11" x14ac:dyDescent="0.3">
      <c r="A31" s="20" t="s">
        <v>181</v>
      </c>
      <c r="B31" s="1" t="s">
        <v>182</v>
      </c>
      <c r="C31" s="1">
        <v>2003</v>
      </c>
      <c r="D31" s="26" t="s">
        <v>183</v>
      </c>
      <c r="E31" s="1">
        <v>2017</v>
      </c>
      <c r="F31" s="1">
        <v>375000</v>
      </c>
      <c r="G31" s="1">
        <f>80268+72392</f>
        <v>152660</v>
      </c>
      <c r="H31" s="26">
        <f t="shared" si="1"/>
        <v>527660</v>
      </c>
      <c r="I31" s="26" t="s">
        <v>194</v>
      </c>
      <c r="J31" s="26" t="s">
        <v>194</v>
      </c>
    </row>
    <row r="32" spans="1:11" x14ac:dyDescent="0.3">
      <c r="A32" s="20" t="s">
        <v>181</v>
      </c>
      <c r="B32" s="1" t="s">
        <v>182</v>
      </c>
      <c r="C32" s="1">
        <v>2003</v>
      </c>
      <c r="D32" s="26" t="s">
        <v>183</v>
      </c>
      <c r="E32" s="1">
        <v>2018</v>
      </c>
      <c r="F32" s="1">
        <v>395000</v>
      </c>
      <c r="G32" s="1">
        <f>72393+63900</f>
        <v>136293</v>
      </c>
      <c r="H32" s="26">
        <f t="shared" si="1"/>
        <v>531293</v>
      </c>
      <c r="I32" s="26" t="s">
        <v>194</v>
      </c>
      <c r="J32" s="26" t="s">
        <v>194</v>
      </c>
    </row>
    <row r="33" spans="1:10" x14ac:dyDescent="0.3">
      <c r="A33" s="20" t="s">
        <v>181</v>
      </c>
      <c r="B33" s="1" t="s">
        <v>182</v>
      </c>
      <c r="C33" s="1">
        <v>2003</v>
      </c>
      <c r="D33" s="26" t="s">
        <v>183</v>
      </c>
      <c r="E33" s="1">
        <v>2019</v>
      </c>
      <c r="F33" s="1">
        <v>410000</v>
      </c>
      <c r="G33" s="1">
        <f>63900+54675</f>
        <v>118575</v>
      </c>
      <c r="H33" s="26">
        <f t="shared" si="1"/>
        <v>528575</v>
      </c>
      <c r="I33" s="26" t="s">
        <v>194</v>
      </c>
      <c r="J33" s="26" t="s">
        <v>194</v>
      </c>
    </row>
    <row r="34" spans="1:10" x14ac:dyDescent="0.3">
      <c r="A34" s="20" t="s">
        <v>181</v>
      </c>
      <c r="B34" s="1" t="s">
        <v>182</v>
      </c>
      <c r="C34" s="1">
        <v>2003</v>
      </c>
      <c r="D34" s="26" t="s">
        <v>183</v>
      </c>
      <c r="E34" s="1">
        <v>2020</v>
      </c>
      <c r="F34" s="1">
        <v>430000</v>
      </c>
      <c r="G34" s="1">
        <f>54675+45000</f>
        <v>99675</v>
      </c>
      <c r="H34" s="26">
        <f t="shared" si="1"/>
        <v>529675</v>
      </c>
      <c r="I34" s="26" t="s">
        <v>194</v>
      </c>
      <c r="J34" s="26" t="s">
        <v>194</v>
      </c>
    </row>
    <row r="35" spans="1:10" x14ac:dyDescent="0.3">
      <c r="A35" s="20" t="s">
        <v>181</v>
      </c>
      <c r="B35" s="1" t="s">
        <v>182</v>
      </c>
      <c r="C35" s="1">
        <v>2003</v>
      </c>
      <c r="D35" s="26" t="s">
        <v>183</v>
      </c>
      <c r="E35" s="1">
        <v>2021</v>
      </c>
      <c r="F35" s="1">
        <v>450000</v>
      </c>
      <c r="G35" s="1">
        <f>45000+34875</f>
        <v>79875</v>
      </c>
      <c r="H35" s="26">
        <f t="shared" si="1"/>
        <v>529875</v>
      </c>
      <c r="I35" s="26" t="s">
        <v>194</v>
      </c>
      <c r="J35" s="26" t="s">
        <v>194</v>
      </c>
    </row>
    <row r="36" spans="1:10" x14ac:dyDescent="0.3">
      <c r="A36" s="20" t="s">
        <v>181</v>
      </c>
      <c r="B36" s="1" t="s">
        <v>182</v>
      </c>
      <c r="C36" s="1">
        <v>2003</v>
      </c>
      <c r="D36" s="26" t="s">
        <v>183</v>
      </c>
      <c r="E36" s="1">
        <v>2022</v>
      </c>
      <c r="F36" s="1">
        <v>470000</v>
      </c>
      <c r="G36" s="1">
        <f>34875+23948</f>
        <v>58823</v>
      </c>
      <c r="H36" s="26">
        <f t="shared" si="1"/>
        <v>528823</v>
      </c>
      <c r="I36" s="26" t="s">
        <v>194</v>
      </c>
      <c r="J36" s="26" t="s">
        <v>194</v>
      </c>
    </row>
    <row r="37" spans="1:10" x14ac:dyDescent="0.3">
      <c r="A37" s="20" t="s">
        <v>181</v>
      </c>
      <c r="B37" s="1" t="s">
        <v>182</v>
      </c>
      <c r="C37" s="1">
        <v>2003</v>
      </c>
      <c r="D37" s="26" t="s">
        <v>183</v>
      </c>
      <c r="E37" s="1">
        <v>2023</v>
      </c>
      <c r="F37" s="1">
        <v>1030000</v>
      </c>
      <c r="G37" s="1">
        <f>23947</f>
        <v>23947</v>
      </c>
      <c r="H37" s="26">
        <f t="shared" si="1"/>
        <v>1053947</v>
      </c>
      <c r="I37" s="26" t="s">
        <v>194</v>
      </c>
      <c r="J37" s="26" t="s">
        <v>194</v>
      </c>
    </row>
    <row r="38" spans="1:10" x14ac:dyDescent="0.3">
      <c r="A38" s="20" t="s">
        <v>181</v>
      </c>
      <c r="B38" s="1" t="s">
        <v>182</v>
      </c>
      <c r="C38" s="1">
        <v>2017</v>
      </c>
      <c r="D38" s="26" t="s">
        <v>183</v>
      </c>
      <c r="E38" s="1">
        <v>2018</v>
      </c>
      <c r="F38" s="1">
        <v>530000</v>
      </c>
      <c r="G38" s="1">
        <f>H38-F38</f>
        <v>142329</v>
      </c>
      <c r="H38" s="1">
        <v>672329</v>
      </c>
      <c r="I38" s="26" t="s">
        <v>194</v>
      </c>
      <c r="J38" s="26" t="s">
        <v>194</v>
      </c>
    </row>
    <row r="39" spans="1:10" x14ac:dyDescent="0.3">
      <c r="A39" s="20" t="s">
        <v>181</v>
      </c>
      <c r="B39" s="1" t="s">
        <v>182</v>
      </c>
      <c r="C39" s="1">
        <v>2017</v>
      </c>
      <c r="D39" s="26" t="s">
        <v>183</v>
      </c>
      <c r="E39" s="1">
        <v>2019</v>
      </c>
      <c r="F39" s="1">
        <v>525000</v>
      </c>
      <c r="G39" s="1">
        <f t="shared" ref="G39:G51" si="2">H39-F39</f>
        <v>149715</v>
      </c>
      <c r="H39" s="1">
        <v>674715</v>
      </c>
      <c r="I39" s="26" t="s">
        <v>194</v>
      </c>
      <c r="J39" s="26" t="s">
        <v>194</v>
      </c>
    </row>
    <row r="40" spans="1:10" x14ac:dyDescent="0.3">
      <c r="A40" s="20" t="s">
        <v>181</v>
      </c>
      <c r="B40" s="1" t="s">
        <v>182</v>
      </c>
      <c r="C40" s="1">
        <v>2017</v>
      </c>
      <c r="D40" s="26" t="s">
        <v>183</v>
      </c>
      <c r="E40" s="1">
        <v>2020</v>
      </c>
      <c r="F40" s="1">
        <v>530000</v>
      </c>
      <c r="G40" s="1">
        <f t="shared" si="2"/>
        <v>143965</v>
      </c>
      <c r="H40" s="1">
        <v>673965</v>
      </c>
      <c r="I40" s="26" t="s">
        <v>194</v>
      </c>
      <c r="J40" s="26" t="s">
        <v>194</v>
      </c>
    </row>
    <row r="41" spans="1:10" x14ac:dyDescent="0.3">
      <c r="A41" s="20" t="s">
        <v>181</v>
      </c>
      <c r="B41" s="1" t="s">
        <v>182</v>
      </c>
      <c r="C41" s="1">
        <v>2017</v>
      </c>
      <c r="D41" s="26" t="s">
        <v>183</v>
      </c>
      <c r="E41" s="1">
        <v>2021</v>
      </c>
      <c r="F41" s="1">
        <v>535000</v>
      </c>
      <c r="G41" s="1">
        <f t="shared" si="2"/>
        <v>137706</v>
      </c>
      <c r="H41" s="1">
        <v>672706</v>
      </c>
      <c r="I41" s="26" t="s">
        <v>194</v>
      </c>
      <c r="J41" s="26" t="s">
        <v>194</v>
      </c>
    </row>
    <row r="42" spans="1:10" x14ac:dyDescent="0.3">
      <c r="A42" s="20" t="s">
        <v>181</v>
      </c>
      <c r="B42" s="1" t="s">
        <v>182</v>
      </c>
      <c r="C42" s="1">
        <v>2017</v>
      </c>
      <c r="D42" s="26" t="s">
        <v>183</v>
      </c>
      <c r="E42" s="1">
        <v>2022</v>
      </c>
      <c r="F42" s="1">
        <v>545000</v>
      </c>
      <c r="G42" s="1">
        <f t="shared" si="2"/>
        <v>130820</v>
      </c>
      <c r="H42" s="1">
        <v>675820</v>
      </c>
      <c r="I42" s="26" t="s">
        <v>194</v>
      </c>
      <c r="J42" s="26" t="s">
        <v>194</v>
      </c>
    </row>
    <row r="43" spans="1:10" x14ac:dyDescent="0.3">
      <c r="A43" s="20" t="s">
        <v>181</v>
      </c>
      <c r="B43" s="1" t="s">
        <v>182</v>
      </c>
      <c r="C43" s="1">
        <v>2017</v>
      </c>
      <c r="D43" s="26" t="s">
        <v>183</v>
      </c>
      <c r="E43" s="1">
        <v>2023</v>
      </c>
      <c r="F43" s="1">
        <v>550000</v>
      </c>
      <c r="G43" s="1">
        <f t="shared" si="2"/>
        <v>123153</v>
      </c>
      <c r="H43" s="1">
        <v>673153</v>
      </c>
      <c r="I43" s="26" t="s">
        <v>194</v>
      </c>
      <c r="J43" s="26" t="s">
        <v>194</v>
      </c>
    </row>
    <row r="44" spans="1:10" x14ac:dyDescent="0.3">
      <c r="A44" s="20" t="s">
        <v>181</v>
      </c>
      <c r="B44" s="1" t="s">
        <v>182</v>
      </c>
      <c r="C44" s="1">
        <v>2017</v>
      </c>
      <c r="D44" s="26" t="s">
        <v>183</v>
      </c>
      <c r="E44" s="1">
        <v>2024</v>
      </c>
      <c r="F44" s="1">
        <v>560000</v>
      </c>
      <c r="G44" s="1">
        <f t="shared" si="2"/>
        <v>113427</v>
      </c>
      <c r="H44" s="1">
        <v>673427</v>
      </c>
      <c r="I44" s="26" t="s">
        <v>194</v>
      </c>
      <c r="J44" s="26" t="s">
        <v>194</v>
      </c>
    </row>
    <row r="45" spans="1:10" x14ac:dyDescent="0.3">
      <c r="A45" s="20" t="s">
        <v>181</v>
      </c>
      <c r="B45" s="1" t="s">
        <v>182</v>
      </c>
      <c r="C45" s="1">
        <v>2017</v>
      </c>
      <c r="D45" s="26" t="s">
        <v>183</v>
      </c>
      <c r="E45" s="1">
        <v>2025</v>
      </c>
      <c r="F45" s="1">
        <v>570000</v>
      </c>
      <c r="G45" s="1">
        <f t="shared" si="2"/>
        <v>102128</v>
      </c>
      <c r="H45" s="1">
        <v>672128</v>
      </c>
      <c r="I45" s="26" t="s">
        <v>194</v>
      </c>
      <c r="J45" s="26" t="s">
        <v>194</v>
      </c>
    </row>
    <row r="46" spans="1:10" x14ac:dyDescent="0.3">
      <c r="A46" s="20" t="s">
        <v>181</v>
      </c>
      <c r="B46" s="1" t="s">
        <v>182</v>
      </c>
      <c r="C46" s="1">
        <v>2017</v>
      </c>
      <c r="D46" s="26" t="s">
        <v>183</v>
      </c>
      <c r="E46" s="1">
        <v>2026</v>
      </c>
      <c r="F46" s="1">
        <v>585000</v>
      </c>
      <c r="G46" s="1">
        <f t="shared" si="2"/>
        <v>90139</v>
      </c>
      <c r="H46" s="1">
        <v>675139</v>
      </c>
      <c r="I46" s="26" t="s">
        <v>194</v>
      </c>
      <c r="J46" s="26" t="s">
        <v>194</v>
      </c>
    </row>
    <row r="47" spans="1:10" x14ac:dyDescent="0.3">
      <c r="A47" s="20" t="s">
        <v>181</v>
      </c>
      <c r="B47" s="1" t="s">
        <v>182</v>
      </c>
      <c r="C47" s="1">
        <v>2017</v>
      </c>
      <c r="D47" s="26" t="s">
        <v>183</v>
      </c>
      <c r="E47" s="1">
        <v>2027</v>
      </c>
      <c r="F47" s="1">
        <v>600000</v>
      </c>
      <c r="G47" s="1">
        <f t="shared" si="2"/>
        <v>76725</v>
      </c>
      <c r="H47" s="1">
        <v>676725</v>
      </c>
      <c r="I47" s="26" t="s">
        <v>194</v>
      </c>
      <c r="J47" s="26" t="s">
        <v>194</v>
      </c>
    </row>
    <row r="48" spans="1:10" x14ac:dyDescent="0.3">
      <c r="A48" s="20" t="s">
        <v>181</v>
      </c>
      <c r="B48" s="1" t="s">
        <v>182</v>
      </c>
      <c r="C48" s="1">
        <v>2017</v>
      </c>
      <c r="D48" s="26" t="s">
        <v>183</v>
      </c>
      <c r="E48" s="1">
        <v>2028</v>
      </c>
      <c r="F48" s="1">
        <v>615000</v>
      </c>
      <c r="G48" s="1">
        <f t="shared" si="2"/>
        <v>61912</v>
      </c>
      <c r="H48" s="1">
        <v>676912</v>
      </c>
      <c r="I48" s="26" t="s">
        <v>194</v>
      </c>
      <c r="J48" s="26" t="s">
        <v>194</v>
      </c>
    </row>
    <row r="49" spans="1:10" x14ac:dyDescent="0.3">
      <c r="A49" s="20" t="s">
        <v>181</v>
      </c>
      <c r="B49" s="1" t="s">
        <v>182</v>
      </c>
      <c r="C49" s="1">
        <v>2017</v>
      </c>
      <c r="D49" s="26" t="s">
        <v>183</v>
      </c>
      <c r="E49" s="1">
        <v>2029</v>
      </c>
      <c r="F49" s="1">
        <v>630000</v>
      </c>
      <c r="G49" s="1">
        <f t="shared" si="2"/>
        <v>45956</v>
      </c>
      <c r="H49" s="1">
        <v>675956</v>
      </c>
      <c r="I49" s="26" t="s">
        <v>194</v>
      </c>
      <c r="J49" s="26" t="s">
        <v>194</v>
      </c>
    </row>
    <row r="50" spans="1:10" x14ac:dyDescent="0.3">
      <c r="A50" s="20" t="s">
        <v>181</v>
      </c>
      <c r="B50" s="1" t="s">
        <v>182</v>
      </c>
      <c r="C50" s="1">
        <v>2017</v>
      </c>
      <c r="D50" s="26" t="s">
        <v>183</v>
      </c>
      <c r="E50" s="1">
        <v>2030</v>
      </c>
      <c r="F50" s="1">
        <v>645000</v>
      </c>
      <c r="G50" s="1">
        <f t="shared" si="2"/>
        <v>28819</v>
      </c>
      <c r="H50" s="1">
        <v>673819</v>
      </c>
      <c r="I50" s="26" t="s">
        <v>194</v>
      </c>
      <c r="J50" s="26" t="s">
        <v>194</v>
      </c>
    </row>
    <row r="51" spans="1:10" x14ac:dyDescent="0.3">
      <c r="A51" s="20" t="s">
        <v>181</v>
      </c>
      <c r="B51" s="1" t="s">
        <v>182</v>
      </c>
      <c r="C51" s="1">
        <v>2017</v>
      </c>
      <c r="D51" s="26" t="s">
        <v>183</v>
      </c>
      <c r="E51" s="1">
        <v>2031</v>
      </c>
      <c r="F51" s="1">
        <v>665000</v>
      </c>
      <c r="G51" s="1">
        <f t="shared" si="2"/>
        <v>9975</v>
      </c>
      <c r="H51" s="1">
        <v>674975</v>
      </c>
      <c r="I51" s="26" t="s">
        <v>194</v>
      </c>
      <c r="J51" s="26" t="s">
        <v>194</v>
      </c>
    </row>
    <row r="52" spans="1:10" x14ac:dyDescent="0.3">
      <c r="A52" s="20" t="s">
        <v>181</v>
      </c>
      <c r="B52" s="1" t="s">
        <v>182</v>
      </c>
      <c r="C52" s="1">
        <v>1992</v>
      </c>
      <c r="D52" s="1" t="s">
        <v>381</v>
      </c>
      <c r="E52" s="1">
        <v>1993</v>
      </c>
      <c r="F52" s="1">
        <v>235000</v>
      </c>
      <c r="G52" s="1">
        <v>110115</v>
      </c>
      <c r="H52" s="1">
        <v>345115</v>
      </c>
      <c r="I52" s="26" t="s">
        <v>194</v>
      </c>
      <c r="J52" s="26" t="s">
        <v>194</v>
      </c>
    </row>
    <row r="53" spans="1:10" x14ac:dyDescent="0.3">
      <c r="A53" s="20" t="s">
        <v>181</v>
      </c>
      <c r="B53" s="1" t="s">
        <v>182</v>
      </c>
      <c r="C53" s="1">
        <v>1992</v>
      </c>
      <c r="D53" s="1" t="s">
        <v>381</v>
      </c>
      <c r="E53" s="1">
        <v>1994</v>
      </c>
      <c r="F53" s="1">
        <v>210000</v>
      </c>
      <c r="G53" s="1">
        <v>125793</v>
      </c>
      <c r="H53" s="1">
        <v>335793</v>
      </c>
      <c r="I53" s="26" t="s">
        <v>194</v>
      </c>
      <c r="J53" s="26" t="s">
        <v>194</v>
      </c>
    </row>
    <row r="54" spans="1:10" x14ac:dyDescent="0.3">
      <c r="A54" s="20" t="s">
        <v>181</v>
      </c>
      <c r="B54" s="1" t="s">
        <v>182</v>
      </c>
      <c r="C54" s="1">
        <v>1992</v>
      </c>
      <c r="D54" s="1" t="s">
        <v>381</v>
      </c>
      <c r="E54" s="1">
        <v>1995</v>
      </c>
      <c r="F54" s="1">
        <v>215000</v>
      </c>
      <c r="G54" s="1">
        <v>119073</v>
      </c>
      <c r="H54" s="1">
        <v>334073</v>
      </c>
      <c r="I54" s="26" t="s">
        <v>194</v>
      </c>
      <c r="J54" s="26" t="s">
        <v>194</v>
      </c>
    </row>
    <row r="55" spans="1:10" x14ac:dyDescent="0.3">
      <c r="A55" s="20" t="s">
        <v>181</v>
      </c>
      <c r="B55" s="1" t="s">
        <v>182</v>
      </c>
      <c r="C55" s="1">
        <v>1992</v>
      </c>
      <c r="D55" s="1" t="s">
        <v>381</v>
      </c>
      <c r="E55" s="1">
        <v>1996</v>
      </c>
      <c r="F55" s="1">
        <v>225000</v>
      </c>
      <c r="G55" s="1">
        <v>110903</v>
      </c>
      <c r="H55" s="1">
        <v>335903</v>
      </c>
      <c r="I55" s="26" t="s">
        <v>194</v>
      </c>
      <c r="J55" s="26" t="s">
        <v>194</v>
      </c>
    </row>
    <row r="56" spans="1:10" x14ac:dyDescent="0.3">
      <c r="A56" s="20" t="s">
        <v>181</v>
      </c>
      <c r="B56" s="1" t="s">
        <v>182</v>
      </c>
      <c r="C56" s="1">
        <v>1992</v>
      </c>
      <c r="D56" s="1" t="s">
        <v>381</v>
      </c>
      <c r="E56" s="1">
        <v>1997</v>
      </c>
      <c r="F56" s="1">
        <v>230000</v>
      </c>
      <c r="G56" s="1">
        <v>101903</v>
      </c>
      <c r="H56" s="1">
        <v>331903</v>
      </c>
      <c r="I56" s="26" t="s">
        <v>194</v>
      </c>
      <c r="J56" s="26" t="s">
        <v>194</v>
      </c>
    </row>
    <row r="57" spans="1:10" x14ac:dyDescent="0.3">
      <c r="A57" s="20" t="s">
        <v>181</v>
      </c>
      <c r="B57" s="1" t="s">
        <v>182</v>
      </c>
      <c r="C57" s="1">
        <v>1992</v>
      </c>
      <c r="D57" s="1" t="s">
        <v>381</v>
      </c>
      <c r="E57" s="1">
        <v>1998</v>
      </c>
      <c r="F57" s="1">
        <v>240000</v>
      </c>
      <c r="G57" s="1">
        <v>91783</v>
      </c>
      <c r="H57" s="1">
        <v>331783</v>
      </c>
      <c r="I57" s="26" t="s">
        <v>194</v>
      </c>
      <c r="J57" s="26" t="s">
        <v>194</v>
      </c>
    </row>
    <row r="58" spans="1:10" x14ac:dyDescent="0.3">
      <c r="A58" s="20" t="s">
        <v>181</v>
      </c>
      <c r="B58" s="1" t="s">
        <v>182</v>
      </c>
      <c r="C58" s="1">
        <v>1992</v>
      </c>
      <c r="D58" s="1" t="s">
        <v>381</v>
      </c>
      <c r="E58" s="1">
        <v>1999</v>
      </c>
      <c r="F58" s="1">
        <v>255000</v>
      </c>
      <c r="G58" s="1">
        <v>80503</v>
      </c>
      <c r="H58" s="1">
        <v>335503</v>
      </c>
      <c r="I58" s="26" t="s">
        <v>194</v>
      </c>
      <c r="J58" s="26" t="s">
        <v>194</v>
      </c>
    </row>
    <row r="59" spans="1:10" x14ac:dyDescent="0.3">
      <c r="A59" s="20" t="s">
        <v>181</v>
      </c>
      <c r="B59" s="1" t="s">
        <v>182</v>
      </c>
      <c r="C59" s="1">
        <v>1992</v>
      </c>
      <c r="D59" s="1" t="s">
        <v>381</v>
      </c>
      <c r="E59" s="1">
        <v>2000</v>
      </c>
      <c r="F59" s="1">
        <v>270000</v>
      </c>
      <c r="G59" s="1">
        <v>67753</v>
      </c>
      <c r="H59" s="1">
        <v>337753</v>
      </c>
      <c r="I59" s="26" t="s">
        <v>194</v>
      </c>
      <c r="J59" s="26" t="s">
        <v>194</v>
      </c>
    </row>
    <row r="60" spans="1:10" x14ac:dyDescent="0.3">
      <c r="A60" s="20" t="s">
        <v>181</v>
      </c>
      <c r="B60" s="1" t="s">
        <v>182</v>
      </c>
      <c r="C60" s="1">
        <v>1992</v>
      </c>
      <c r="D60" s="1" t="s">
        <v>381</v>
      </c>
      <c r="E60" s="1">
        <v>2001</v>
      </c>
      <c r="F60" s="1">
        <v>280000</v>
      </c>
      <c r="G60" s="1">
        <v>54253</v>
      </c>
      <c r="H60" s="1">
        <v>334253</v>
      </c>
      <c r="I60" s="26" t="s">
        <v>194</v>
      </c>
      <c r="J60" s="26" t="s">
        <v>194</v>
      </c>
    </row>
    <row r="61" spans="1:10" x14ac:dyDescent="0.3">
      <c r="A61" s="20" t="s">
        <v>181</v>
      </c>
      <c r="B61" s="1" t="s">
        <v>182</v>
      </c>
      <c r="C61" s="1">
        <v>1992</v>
      </c>
      <c r="D61" s="1" t="s">
        <v>381</v>
      </c>
      <c r="E61" s="1">
        <v>2002</v>
      </c>
      <c r="F61" s="1">
        <v>295000</v>
      </c>
      <c r="G61" s="1">
        <v>39553</v>
      </c>
      <c r="H61" s="1">
        <v>334553</v>
      </c>
      <c r="I61" s="26" t="s">
        <v>194</v>
      </c>
      <c r="J61" s="26" t="s">
        <v>194</v>
      </c>
    </row>
    <row r="62" spans="1:10" x14ac:dyDescent="0.3">
      <c r="A62" s="20" t="s">
        <v>181</v>
      </c>
      <c r="B62" s="1" t="s">
        <v>182</v>
      </c>
      <c r="C62" s="1">
        <v>1992</v>
      </c>
      <c r="D62" s="1" t="s">
        <v>381</v>
      </c>
      <c r="E62" s="1">
        <v>2003</v>
      </c>
      <c r="F62" s="1">
        <v>310000</v>
      </c>
      <c r="G62" s="1">
        <v>23770</v>
      </c>
      <c r="H62" s="1">
        <v>333770</v>
      </c>
      <c r="I62" s="26" t="s">
        <v>194</v>
      </c>
      <c r="J62" s="26" t="s">
        <v>194</v>
      </c>
    </row>
    <row r="63" spans="1:10" x14ac:dyDescent="0.3">
      <c r="A63" s="20" t="s">
        <v>181</v>
      </c>
      <c r="B63" s="1" t="s">
        <v>182</v>
      </c>
      <c r="C63" s="1">
        <v>1992</v>
      </c>
      <c r="D63" s="1" t="s">
        <v>381</v>
      </c>
      <c r="E63" s="1">
        <v>2004</v>
      </c>
      <c r="F63" s="1">
        <v>120000</v>
      </c>
      <c r="G63" s="1">
        <v>6720</v>
      </c>
      <c r="H63" s="1">
        <v>126720</v>
      </c>
      <c r="I63" s="26" t="s">
        <v>194</v>
      </c>
      <c r="J63" s="26" t="s">
        <v>194</v>
      </c>
    </row>
    <row r="64" spans="1:10" x14ac:dyDescent="0.3">
      <c r="A64" s="20" t="s">
        <v>181</v>
      </c>
      <c r="B64" s="1" t="s">
        <v>182</v>
      </c>
      <c r="C64" s="1">
        <v>2002</v>
      </c>
      <c r="D64" s="1" t="s">
        <v>381</v>
      </c>
      <c r="E64" s="1">
        <v>2002</v>
      </c>
      <c r="F64" s="1">
        <v>15000</v>
      </c>
      <c r="G64" s="1">
        <f>H64-F64</f>
        <v>321154</v>
      </c>
      <c r="H64" s="1">
        <v>336154</v>
      </c>
      <c r="I64" s="26" t="s">
        <v>194</v>
      </c>
      <c r="J64" s="26" t="s">
        <v>194</v>
      </c>
    </row>
    <row r="65" spans="1:10" x14ac:dyDescent="0.3">
      <c r="A65" s="20" t="s">
        <v>181</v>
      </c>
      <c r="B65" s="1" t="s">
        <v>182</v>
      </c>
      <c r="C65" s="1">
        <v>2002</v>
      </c>
      <c r="D65" s="1" t="s">
        <v>381</v>
      </c>
      <c r="E65" s="1">
        <v>2003</v>
      </c>
      <c r="F65" s="1">
        <v>295000</v>
      </c>
      <c r="G65" s="1">
        <f t="shared" ref="G65:G83" si="3">H65-F65</f>
        <v>350028</v>
      </c>
      <c r="H65" s="1">
        <v>645028</v>
      </c>
      <c r="I65" s="26" t="s">
        <v>194</v>
      </c>
      <c r="J65" s="26" t="s">
        <v>194</v>
      </c>
    </row>
    <row r="66" spans="1:10" x14ac:dyDescent="0.3">
      <c r="A66" s="20" t="s">
        <v>181</v>
      </c>
      <c r="B66" s="1" t="s">
        <v>182</v>
      </c>
      <c r="C66" s="1">
        <v>2002</v>
      </c>
      <c r="D66" s="1" t="s">
        <v>381</v>
      </c>
      <c r="E66" s="1">
        <v>2004</v>
      </c>
      <c r="F66" s="1">
        <v>300000</v>
      </c>
      <c r="G66" s="1">
        <f t="shared" si="3"/>
        <v>342947</v>
      </c>
      <c r="H66" s="1">
        <v>642947</v>
      </c>
      <c r="I66" s="26" t="s">
        <v>194</v>
      </c>
      <c r="J66" s="26" t="s">
        <v>194</v>
      </c>
    </row>
    <row r="67" spans="1:10" x14ac:dyDescent="0.3">
      <c r="A67" s="20" t="s">
        <v>181</v>
      </c>
      <c r="B67" s="1" t="s">
        <v>182</v>
      </c>
      <c r="C67" s="1">
        <v>2002</v>
      </c>
      <c r="D67" s="1" t="s">
        <v>381</v>
      </c>
      <c r="E67" s="1">
        <v>2005</v>
      </c>
      <c r="F67" s="1">
        <v>310000</v>
      </c>
      <c r="G67" s="1">
        <f t="shared" si="3"/>
        <v>334398</v>
      </c>
      <c r="H67" s="1">
        <v>644398</v>
      </c>
      <c r="I67" s="26" t="s">
        <v>194</v>
      </c>
      <c r="J67" s="26" t="s">
        <v>194</v>
      </c>
    </row>
    <row r="68" spans="1:10" x14ac:dyDescent="0.3">
      <c r="A68" s="20" t="s">
        <v>181</v>
      </c>
      <c r="B68" s="1" t="s">
        <v>182</v>
      </c>
      <c r="C68" s="1">
        <v>2002</v>
      </c>
      <c r="D68" s="1" t="s">
        <v>381</v>
      </c>
      <c r="E68" s="1">
        <v>2006</v>
      </c>
      <c r="F68" s="1">
        <v>320000</v>
      </c>
      <c r="G68" s="1">
        <f t="shared" si="3"/>
        <v>324477</v>
      </c>
      <c r="H68" s="1">
        <v>644477</v>
      </c>
      <c r="I68" s="26" t="s">
        <v>194</v>
      </c>
      <c r="J68" s="26" t="s">
        <v>194</v>
      </c>
    </row>
    <row r="69" spans="1:10" x14ac:dyDescent="0.3">
      <c r="A69" s="20" t="s">
        <v>181</v>
      </c>
      <c r="B69" s="1" t="s">
        <v>182</v>
      </c>
      <c r="C69" s="1">
        <v>2002</v>
      </c>
      <c r="D69" s="1" t="s">
        <v>381</v>
      </c>
      <c r="E69" s="1">
        <v>2007</v>
      </c>
      <c r="F69" s="1">
        <v>330000</v>
      </c>
      <c r="G69" s="1">
        <f t="shared" si="3"/>
        <v>313278</v>
      </c>
      <c r="H69" s="1">
        <v>643278</v>
      </c>
      <c r="I69" s="26" t="s">
        <v>194</v>
      </c>
      <c r="J69" s="26" t="s">
        <v>194</v>
      </c>
    </row>
    <row r="70" spans="1:10" x14ac:dyDescent="0.3">
      <c r="A70" s="20" t="s">
        <v>181</v>
      </c>
      <c r="B70" s="1" t="s">
        <v>182</v>
      </c>
      <c r="C70" s="1">
        <v>2002</v>
      </c>
      <c r="D70" s="1" t="s">
        <v>381</v>
      </c>
      <c r="E70" s="1">
        <v>2008</v>
      </c>
      <c r="F70" s="1">
        <v>340000</v>
      </c>
      <c r="G70" s="1">
        <f t="shared" si="3"/>
        <v>300903</v>
      </c>
      <c r="H70" s="1">
        <v>640903</v>
      </c>
      <c r="I70" s="26" t="s">
        <v>194</v>
      </c>
      <c r="J70" s="26" t="s">
        <v>194</v>
      </c>
    </row>
    <row r="71" spans="1:10" x14ac:dyDescent="0.3">
      <c r="A71" s="20" t="s">
        <v>181</v>
      </c>
      <c r="B71" s="1" t="s">
        <v>182</v>
      </c>
      <c r="C71" s="1">
        <v>2002</v>
      </c>
      <c r="D71" s="1" t="s">
        <v>381</v>
      </c>
      <c r="E71" s="1">
        <v>2009</v>
      </c>
      <c r="F71" s="1">
        <v>355000</v>
      </c>
      <c r="G71" s="1">
        <f t="shared" si="3"/>
        <v>287302</v>
      </c>
      <c r="H71" s="1">
        <v>642302</v>
      </c>
      <c r="I71" s="26" t="s">
        <v>194</v>
      </c>
      <c r="J71" s="26" t="s">
        <v>194</v>
      </c>
    </row>
    <row r="72" spans="1:10" x14ac:dyDescent="0.3">
      <c r="A72" s="20" t="s">
        <v>181</v>
      </c>
      <c r="B72" s="1" t="s">
        <v>182</v>
      </c>
      <c r="C72" s="1">
        <v>2002</v>
      </c>
      <c r="D72" s="1" t="s">
        <v>381</v>
      </c>
      <c r="E72" s="1">
        <v>2010</v>
      </c>
      <c r="F72" s="1">
        <v>370000</v>
      </c>
      <c r="G72" s="1">
        <f t="shared" si="3"/>
        <v>272570</v>
      </c>
      <c r="H72" s="1">
        <v>642570</v>
      </c>
      <c r="I72" s="26" t="s">
        <v>194</v>
      </c>
      <c r="J72" s="26" t="s">
        <v>194</v>
      </c>
    </row>
    <row r="73" spans="1:10" x14ac:dyDescent="0.3">
      <c r="A73" s="20" t="s">
        <v>181</v>
      </c>
      <c r="B73" s="1" t="s">
        <v>182</v>
      </c>
      <c r="C73" s="1">
        <v>2002</v>
      </c>
      <c r="D73" s="1" t="s">
        <v>381</v>
      </c>
      <c r="E73" s="1">
        <v>2011</v>
      </c>
      <c r="F73" s="1">
        <v>385000</v>
      </c>
      <c r="G73" s="1">
        <f t="shared" si="3"/>
        <v>256845</v>
      </c>
      <c r="H73" s="1">
        <v>641845</v>
      </c>
      <c r="I73" s="26" t="s">
        <v>194</v>
      </c>
      <c r="J73" s="26" t="s">
        <v>194</v>
      </c>
    </row>
    <row r="74" spans="1:10" x14ac:dyDescent="0.3">
      <c r="A74" s="20" t="s">
        <v>181</v>
      </c>
      <c r="B74" s="1" t="s">
        <v>182</v>
      </c>
      <c r="C74" s="1">
        <v>2002</v>
      </c>
      <c r="D74" s="1" t="s">
        <v>381</v>
      </c>
      <c r="E74" s="1">
        <v>2012</v>
      </c>
      <c r="F74" s="1">
        <v>400000</v>
      </c>
      <c r="G74" s="1">
        <f t="shared" si="3"/>
        <v>240290</v>
      </c>
      <c r="H74" s="1">
        <v>640290</v>
      </c>
      <c r="I74" s="26" t="s">
        <v>194</v>
      </c>
      <c r="J74" s="26" t="s">
        <v>194</v>
      </c>
    </row>
    <row r="75" spans="1:10" x14ac:dyDescent="0.3">
      <c r="A75" s="20" t="s">
        <v>181</v>
      </c>
      <c r="B75" s="1" t="s">
        <v>182</v>
      </c>
      <c r="C75" s="1">
        <v>2002</v>
      </c>
      <c r="D75" s="1" t="s">
        <v>381</v>
      </c>
      <c r="E75" s="1">
        <v>2013</v>
      </c>
      <c r="F75" s="1">
        <v>415000</v>
      </c>
      <c r="G75" s="1">
        <f t="shared" si="3"/>
        <v>222490</v>
      </c>
      <c r="H75" s="1">
        <v>637490</v>
      </c>
      <c r="I75" s="26" t="s">
        <v>194</v>
      </c>
      <c r="J75" s="26" t="s">
        <v>194</v>
      </c>
    </row>
    <row r="76" spans="1:10" x14ac:dyDescent="0.3">
      <c r="A76" s="20" t="s">
        <v>181</v>
      </c>
      <c r="B76" s="1" t="s">
        <v>182</v>
      </c>
      <c r="C76" s="1">
        <v>2002</v>
      </c>
      <c r="D76" s="1" t="s">
        <v>381</v>
      </c>
      <c r="E76" s="1">
        <v>2014</v>
      </c>
      <c r="F76" s="1">
        <v>435000</v>
      </c>
      <c r="G76" s="1">
        <f t="shared" si="3"/>
        <v>203815</v>
      </c>
      <c r="H76" s="1">
        <v>638815</v>
      </c>
      <c r="I76" s="26" t="s">
        <v>194</v>
      </c>
      <c r="J76" s="26" t="s">
        <v>194</v>
      </c>
    </row>
    <row r="77" spans="1:10" x14ac:dyDescent="0.3">
      <c r="A77" s="20" t="s">
        <v>181</v>
      </c>
      <c r="B77" s="1" t="s">
        <v>182</v>
      </c>
      <c r="C77" s="1">
        <v>2002</v>
      </c>
      <c r="D77" s="1" t="s">
        <v>381</v>
      </c>
      <c r="E77" s="1">
        <v>2015</v>
      </c>
      <c r="F77" s="1">
        <v>455000</v>
      </c>
      <c r="G77" s="1">
        <f t="shared" si="3"/>
        <v>183153</v>
      </c>
      <c r="H77" s="1">
        <v>638153</v>
      </c>
      <c r="I77" s="26" t="s">
        <v>194</v>
      </c>
      <c r="J77" s="26" t="s">
        <v>194</v>
      </c>
    </row>
    <row r="78" spans="1:10" x14ac:dyDescent="0.3">
      <c r="A78" s="20" t="s">
        <v>181</v>
      </c>
      <c r="B78" s="1" t="s">
        <v>182</v>
      </c>
      <c r="C78" s="1">
        <v>2002</v>
      </c>
      <c r="D78" s="1" t="s">
        <v>381</v>
      </c>
      <c r="E78" s="1">
        <v>2016</v>
      </c>
      <c r="F78" s="1">
        <v>480000</v>
      </c>
      <c r="G78" s="1">
        <f t="shared" si="3"/>
        <v>161540</v>
      </c>
      <c r="H78" s="1">
        <v>641540</v>
      </c>
      <c r="I78" s="26" t="s">
        <v>194</v>
      </c>
      <c r="J78" s="26" t="s">
        <v>194</v>
      </c>
    </row>
    <row r="79" spans="1:10" x14ac:dyDescent="0.3">
      <c r="A79" s="20" t="s">
        <v>181</v>
      </c>
      <c r="B79" s="1" t="s">
        <v>182</v>
      </c>
      <c r="C79" s="1">
        <v>2002</v>
      </c>
      <c r="D79" s="1" t="s">
        <v>381</v>
      </c>
      <c r="E79" s="1">
        <v>2017</v>
      </c>
      <c r="F79" s="1">
        <v>500000</v>
      </c>
      <c r="G79" s="1">
        <f t="shared" si="3"/>
        <v>138500</v>
      </c>
      <c r="H79" s="1">
        <v>638500</v>
      </c>
      <c r="I79" s="26" t="s">
        <v>194</v>
      </c>
      <c r="J79" s="26" t="s">
        <v>194</v>
      </c>
    </row>
    <row r="80" spans="1:10" x14ac:dyDescent="0.3">
      <c r="A80" s="20" t="s">
        <v>181</v>
      </c>
      <c r="B80" s="1" t="s">
        <v>182</v>
      </c>
      <c r="C80" s="1">
        <v>2002</v>
      </c>
      <c r="D80" s="1" t="s">
        <v>381</v>
      </c>
      <c r="E80" s="1">
        <v>2018</v>
      </c>
      <c r="F80" s="1">
        <v>525000</v>
      </c>
      <c r="G80" s="1">
        <f t="shared" si="3"/>
        <v>113500</v>
      </c>
      <c r="H80" s="1">
        <v>638500</v>
      </c>
      <c r="I80" s="26" t="s">
        <v>194</v>
      </c>
      <c r="J80" s="26" t="s">
        <v>194</v>
      </c>
    </row>
    <row r="81" spans="1:10" x14ac:dyDescent="0.3">
      <c r="A81" s="20" t="s">
        <v>181</v>
      </c>
      <c r="B81" s="1" t="s">
        <v>182</v>
      </c>
      <c r="C81" s="1">
        <v>2002</v>
      </c>
      <c r="D81" s="1" t="s">
        <v>381</v>
      </c>
      <c r="E81" s="1">
        <v>2019</v>
      </c>
      <c r="F81" s="1">
        <v>555000</v>
      </c>
      <c r="G81" s="1">
        <f t="shared" si="3"/>
        <v>87250</v>
      </c>
      <c r="H81" s="1">
        <v>642250</v>
      </c>
      <c r="I81" s="26" t="s">
        <v>194</v>
      </c>
      <c r="J81" s="26" t="s">
        <v>194</v>
      </c>
    </row>
    <row r="82" spans="1:10" x14ac:dyDescent="0.3">
      <c r="A82" s="20" t="s">
        <v>181</v>
      </c>
      <c r="B82" s="1" t="s">
        <v>182</v>
      </c>
      <c r="C82" s="1">
        <v>2002</v>
      </c>
      <c r="D82" s="1" t="s">
        <v>381</v>
      </c>
      <c r="E82" s="1">
        <v>2020</v>
      </c>
      <c r="F82" s="1">
        <v>580000</v>
      </c>
      <c r="G82" s="1">
        <f t="shared" si="3"/>
        <v>59500</v>
      </c>
      <c r="H82" s="1">
        <v>639500</v>
      </c>
      <c r="I82" s="26" t="s">
        <v>194</v>
      </c>
      <c r="J82" s="26" t="s">
        <v>194</v>
      </c>
    </row>
    <row r="83" spans="1:10" x14ac:dyDescent="0.3">
      <c r="A83" s="20" t="s">
        <v>181</v>
      </c>
      <c r="B83" s="1" t="s">
        <v>182</v>
      </c>
      <c r="C83" s="1">
        <v>2002</v>
      </c>
      <c r="D83" s="1" t="s">
        <v>381</v>
      </c>
      <c r="E83" s="1">
        <v>2021</v>
      </c>
      <c r="F83" s="1">
        <v>610000</v>
      </c>
      <c r="G83" s="1">
        <f t="shared" si="3"/>
        <v>30500</v>
      </c>
      <c r="H83" s="1">
        <v>640500</v>
      </c>
      <c r="I83" s="26" t="s">
        <v>194</v>
      </c>
      <c r="J83" s="26" t="s">
        <v>194</v>
      </c>
    </row>
    <row r="84" spans="1:10" x14ac:dyDescent="0.3">
      <c r="A84" s="20" t="s">
        <v>181</v>
      </c>
      <c r="B84" s="1" t="s">
        <v>182</v>
      </c>
      <c r="C84" s="1">
        <v>2015</v>
      </c>
      <c r="D84" s="1" t="s">
        <v>381</v>
      </c>
      <c r="E84" s="1">
        <v>2015</v>
      </c>
      <c r="H84" s="1">
        <v>634790</v>
      </c>
      <c r="I84" s="1">
        <v>328748</v>
      </c>
      <c r="J84" s="1">
        <f>SUM(H84:I84)</f>
        <v>963538</v>
      </c>
    </row>
    <row r="85" spans="1:10" x14ac:dyDescent="0.3">
      <c r="A85" s="20" t="s">
        <v>181</v>
      </c>
      <c r="B85" s="1" t="s">
        <v>182</v>
      </c>
      <c r="C85" s="1">
        <v>2015</v>
      </c>
      <c r="D85" s="1" t="s">
        <v>381</v>
      </c>
      <c r="E85" s="1">
        <v>2016</v>
      </c>
      <c r="F85" s="1">
        <v>580000</v>
      </c>
      <c r="G85" s="1">
        <v>64157</v>
      </c>
      <c r="H85" s="1">
        <f>SUM(F85:G85)</f>
        <v>644157</v>
      </c>
      <c r="I85" s="1">
        <v>328748</v>
      </c>
      <c r="J85" s="1">
        <f t="shared" ref="J85:J92" si="4">SUM(H85:I85)</f>
        <v>972905</v>
      </c>
    </row>
    <row r="86" spans="1:10" x14ac:dyDescent="0.3">
      <c r="A86" s="20" t="s">
        <v>181</v>
      </c>
      <c r="B86" s="1" t="s">
        <v>182</v>
      </c>
      <c r="C86" s="1">
        <v>2015</v>
      </c>
      <c r="D86" s="1" t="s">
        <v>381</v>
      </c>
      <c r="E86" s="1">
        <v>2017</v>
      </c>
      <c r="F86" s="1">
        <v>585000</v>
      </c>
      <c r="G86" s="1">
        <v>51500</v>
      </c>
      <c r="H86" s="1">
        <f t="shared" ref="H86:H92" si="5">SUM(F86:G86)</f>
        <v>636500</v>
      </c>
      <c r="I86" s="1">
        <v>328748</v>
      </c>
      <c r="J86" s="1">
        <f t="shared" si="4"/>
        <v>965248</v>
      </c>
    </row>
    <row r="87" spans="1:10" x14ac:dyDescent="0.3">
      <c r="A87" s="20" t="s">
        <v>181</v>
      </c>
      <c r="B87" s="1" t="s">
        <v>182</v>
      </c>
      <c r="C87" s="1">
        <v>2015</v>
      </c>
      <c r="D87" s="1" t="s">
        <v>381</v>
      </c>
      <c r="E87" s="1">
        <v>2018</v>
      </c>
      <c r="F87" s="1">
        <v>595000</v>
      </c>
      <c r="G87" s="1">
        <v>41200</v>
      </c>
      <c r="H87" s="1">
        <f t="shared" si="5"/>
        <v>636200</v>
      </c>
      <c r="I87" s="1">
        <v>328748</v>
      </c>
      <c r="J87" s="1">
        <f t="shared" si="4"/>
        <v>964948</v>
      </c>
    </row>
    <row r="88" spans="1:10" x14ac:dyDescent="0.3">
      <c r="A88" s="20" t="s">
        <v>181</v>
      </c>
      <c r="B88" s="1" t="s">
        <v>182</v>
      </c>
      <c r="C88" s="1">
        <v>2015</v>
      </c>
      <c r="D88" s="1" t="s">
        <v>381</v>
      </c>
      <c r="E88" s="1">
        <v>2019</v>
      </c>
      <c r="F88" s="1">
        <v>620000</v>
      </c>
      <c r="G88" s="1">
        <v>27600</v>
      </c>
      <c r="H88" s="1">
        <f t="shared" si="5"/>
        <v>647600</v>
      </c>
      <c r="I88" s="1">
        <v>328748</v>
      </c>
      <c r="J88" s="1">
        <f t="shared" si="4"/>
        <v>976348</v>
      </c>
    </row>
    <row r="89" spans="1:10" x14ac:dyDescent="0.3">
      <c r="A89" s="20" t="s">
        <v>181</v>
      </c>
      <c r="B89" s="1" t="s">
        <v>182</v>
      </c>
      <c r="C89" s="1">
        <v>2015</v>
      </c>
      <c r="D89" s="1" t="s">
        <v>381</v>
      </c>
      <c r="E89" s="1">
        <v>2020</v>
      </c>
      <c r="F89" s="1">
        <v>455000</v>
      </c>
      <c r="G89" s="1">
        <v>8925</v>
      </c>
      <c r="H89" s="1">
        <f t="shared" si="5"/>
        <v>463925</v>
      </c>
      <c r="I89" s="1">
        <v>328748</v>
      </c>
      <c r="J89" s="1">
        <f t="shared" si="4"/>
        <v>792673</v>
      </c>
    </row>
    <row r="90" spans="1:10" x14ac:dyDescent="0.3">
      <c r="A90" s="20" t="s">
        <v>181</v>
      </c>
      <c r="B90" s="1" t="s">
        <v>182</v>
      </c>
      <c r="C90" s="1">
        <v>2015</v>
      </c>
      <c r="D90" s="1" t="s">
        <v>381</v>
      </c>
      <c r="E90" s="1">
        <v>2021</v>
      </c>
      <c r="F90" s="1">
        <v>0</v>
      </c>
      <c r="G90" s="1">
        <v>0</v>
      </c>
      <c r="H90" s="1">
        <f t="shared" si="5"/>
        <v>0</v>
      </c>
      <c r="I90" s="1">
        <v>328748</v>
      </c>
      <c r="J90" s="1">
        <f t="shared" si="4"/>
        <v>328748</v>
      </c>
    </row>
    <row r="91" spans="1:10" x14ac:dyDescent="0.3">
      <c r="A91" s="20" t="s">
        <v>181</v>
      </c>
      <c r="B91" s="1" t="s">
        <v>182</v>
      </c>
      <c r="C91" s="1">
        <v>2015</v>
      </c>
      <c r="D91" s="1" t="s">
        <v>381</v>
      </c>
      <c r="E91" s="1">
        <v>2022</v>
      </c>
      <c r="F91" s="1">
        <v>0</v>
      </c>
      <c r="G91" s="1">
        <v>0</v>
      </c>
      <c r="H91" s="1">
        <f t="shared" si="5"/>
        <v>0</v>
      </c>
      <c r="I91" s="1">
        <v>328748</v>
      </c>
      <c r="J91" s="1">
        <f t="shared" si="4"/>
        <v>328748</v>
      </c>
    </row>
    <row r="92" spans="1:10" x14ac:dyDescent="0.3">
      <c r="A92" s="20" t="s">
        <v>181</v>
      </c>
      <c r="B92" s="1" t="s">
        <v>182</v>
      </c>
      <c r="C92" s="1">
        <v>2015</v>
      </c>
      <c r="D92" s="1" t="s">
        <v>381</v>
      </c>
      <c r="E92" s="1">
        <v>2023</v>
      </c>
      <c r="F92" s="1">
        <v>0</v>
      </c>
      <c r="G92" s="1">
        <v>0</v>
      </c>
      <c r="H92" s="1">
        <f t="shared" si="5"/>
        <v>0</v>
      </c>
      <c r="I92" s="1">
        <v>301354</v>
      </c>
      <c r="J92" s="1">
        <f t="shared" si="4"/>
        <v>301354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defaultColWidth="8.77734375" defaultRowHeight="14.4" x14ac:dyDescent="0.3"/>
  <cols>
    <col min="1" max="16384" width="8.77734375" style="1"/>
  </cols>
  <sheetData>
    <row r="1" spans="1:9" x14ac:dyDescent="0.3">
      <c r="A1" s="2" t="s">
        <v>0</v>
      </c>
      <c r="B1" s="2" t="s">
        <v>27</v>
      </c>
      <c r="C1" s="2" t="s">
        <v>2</v>
      </c>
      <c r="D1" s="2" t="s">
        <v>110</v>
      </c>
      <c r="E1" s="4" t="s">
        <v>111</v>
      </c>
      <c r="F1" s="4" t="s">
        <v>112</v>
      </c>
      <c r="G1" s="4" t="s">
        <v>113</v>
      </c>
      <c r="H1" s="4" t="s">
        <v>114</v>
      </c>
      <c r="I1" s="4" t="s">
        <v>115</v>
      </c>
    </row>
    <row r="2" spans="1:9" x14ac:dyDescent="0.3">
      <c r="A2" s="7" t="s">
        <v>178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32" workbookViewId="0">
      <selection activeCell="I40" sqref="I40"/>
    </sheetView>
  </sheetViews>
  <sheetFormatPr defaultColWidth="8.77734375" defaultRowHeight="14.4" x14ac:dyDescent="0.3"/>
  <cols>
    <col min="1" max="4" width="8.77734375" style="1"/>
    <col min="5" max="5" width="18.77734375" style="1" bestFit="1" customWidth="1"/>
    <col min="6" max="6" width="8.77734375" style="1"/>
    <col min="7" max="7" width="10.109375" style="1" bestFit="1" customWidth="1"/>
    <col min="8" max="8" width="11.33203125" style="1" bestFit="1" customWidth="1"/>
    <col min="9" max="16384" width="8.77734375" style="1"/>
  </cols>
  <sheetData>
    <row r="1" spans="1:9" x14ac:dyDescent="0.3">
      <c r="A1" s="18" t="s">
        <v>0</v>
      </c>
      <c r="B1" s="18" t="s">
        <v>27</v>
      </c>
      <c r="C1" s="18" t="s">
        <v>2</v>
      </c>
      <c r="D1" s="18" t="s">
        <v>24</v>
      </c>
      <c r="E1" s="18" t="s">
        <v>120</v>
      </c>
      <c r="F1" s="18" t="s">
        <v>121</v>
      </c>
      <c r="G1" s="18" t="s">
        <v>122</v>
      </c>
      <c r="H1" s="18" t="s">
        <v>123</v>
      </c>
      <c r="I1" s="18" t="s">
        <v>96</v>
      </c>
    </row>
    <row r="2" spans="1:9" x14ac:dyDescent="0.3">
      <c r="A2" s="20" t="s">
        <v>181</v>
      </c>
      <c r="B2" s="1" t="s">
        <v>182</v>
      </c>
      <c r="C2" s="1">
        <v>1994</v>
      </c>
      <c r="D2" s="1" t="s">
        <v>183</v>
      </c>
      <c r="E2" s="1" t="s">
        <v>554</v>
      </c>
      <c r="F2" s="1" t="s">
        <v>212</v>
      </c>
    </row>
    <row r="3" spans="1:9" x14ac:dyDescent="0.3">
      <c r="A3" s="20" t="s">
        <v>181</v>
      </c>
      <c r="B3" s="1" t="s">
        <v>182</v>
      </c>
      <c r="C3" s="1">
        <v>1994</v>
      </c>
      <c r="D3" s="1" t="s">
        <v>183</v>
      </c>
      <c r="E3" s="1" t="s">
        <v>555</v>
      </c>
      <c r="F3" s="1" t="s">
        <v>213</v>
      </c>
    </row>
    <row r="4" spans="1:9" x14ac:dyDescent="0.3">
      <c r="A4" s="20" t="s">
        <v>181</v>
      </c>
      <c r="B4" s="1" t="s">
        <v>182</v>
      </c>
      <c r="C4" s="1">
        <v>1994</v>
      </c>
      <c r="D4" s="1" t="s">
        <v>183</v>
      </c>
      <c r="E4" s="1" t="s">
        <v>556</v>
      </c>
      <c r="F4" s="25" t="s">
        <v>215</v>
      </c>
    </row>
    <row r="5" spans="1:9" x14ac:dyDescent="0.3">
      <c r="A5" s="20" t="s">
        <v>181</v>
      </c>
      <c r="B5" s="1" t="s">
        <v>182</v>
      </c>
      <c r="C5" s="1">
        <v>1994</v>
      </c>
      <c r="D5" s="1" t="s">
        <v>183</v>
      </c>
      <c r="E5" s="1" t="s">
        <v>557</v>
      </c>
      <c r="F5" s="1" t="s">
        <v>216</v>
      </c>
    </row>
    <row r="6" spans="1:9" x14ac:dyDescent="0.3">
      <c r="A6" s="20" t="s">
        <v>181</v>
      </c>
      <c r="B6" s="1" t="s">
        <v>182</v>
      </c>
      <c r="C6" s="1">
        <v>1994</v>
      </c>
      <c r="D6" s="1" t="s">
        <v>183</v>
      </c>
      <c r="E6" s="1" t="s">
        <v>558</v>
      </c>
      <c r="F6" s="1" t="s">
        <v>216</v>
      </c>
    </row>
    <row r="7" spans="1:9" x14ac:dyDescent="0.3">
      <c r="A7" s="20" t="s">
        <v>181</v>
      </c>
      <c r="B7" s="1" t="s">
        <v>182</v>
      </c>
      <c r="C7" s="1">
        <v>1994</v>
      </c>
      <c r="D7" s="1" t="s">
        <v>183</v>
      </c>
      <c r="E7" s="1" t="s">
        <v>559</v>
      </c>
      <c r="F7" s="1" t="s">
        <v>216</v>
      </c>
    </row>
    <row r="8" spans="1:9" x14ac:dyDescent="0.3">
      <c r="A8" s="20" t="s">
        <v>181</v>
      </c>
      <c r="B8" s="1" t="s">
        <v>182</v>
      </c>
      <c r="C8" s="1">
        <v>1994</v>
      </c>
      <c r="D8" s="1" t="s">
        <v>183</v>
      </c>
      <c r="E8" s="1" t="s">
        <v>560</v>
      </c>
      <c r="F8" s="1" t="s">
        <v>216</v>
      </c>
    </row>
    <row r="9" spans="1:9" x14ac:dyDescent="0.3">
      <c r="A9" s="20" t="s">
        <v>181</v>
      </c>
      <c r="B9" s="1" t="s">
        <v>182</v>
      </c>
      <c r="C9" s="1">
        <v>1994</v>
      </c>
      <c r="D9" s="1" t="s">
        <v>183</v>
      </c>
      <c r="E9" s="1" t="s">
        <v>561</v>
      </c>
      <c r="F9" s="25" t="s">
        <v>214</v>
      </c>
      <c r="I9" s="1" t="s">
        <v>217</v>
      </c>
    </row>
    <row r="10" spans="1:9" x14ac:dyDescent="0.3">
      <c r="A10" s="20" t="s">
        <v>181</v>
      </c>
      <c r="B10" s="1" t="s">
        <v>182</v>
      </c>
      <c r="C10" s="1">
        <v>1994</v>
      </c>
      <c r="D10" s="1" t="s">
        <v>183</v>
      </c>
      <c r="E10" s="1" t="s">
        <v>562</v>
      </c>
      <c r="F10" s="1" t="s">
        <v>218</v>
      </c>
      <c r="I10" s="1" t="s">
        <v>217</v>
      </c>
    </row>
    <row r="11" spans="1:9" x14ac:dyDescent="0.3">
      <c r="A11" s="20" t="s">
        <v>181</v>
      </c>
      <c r="B11" s="1" t="s">
        <v>182</v>
      </c>
      <c r="C11" s="1">
        <v>1994</v>
      </c>
      <c r="D11" s="1" t="s">
        <v>183</v>
      </c>
      <c r="E11" s="1" t="s">
        <v>563</v>
      </c>
      <c r="F11" s="1" t="s">
        <v>219</v>
      </c>
      <c r="I11" s="1" t="s">
        <v>217</v>
      </c>
    </row>
    <row r="12" spans="1:9" x14ac:dyDescent="0.3">
      <c r="A12" s="20" t="s">
        <v>181</v>
      </c>
      <c r="B12" s="1" t="s">
        <v>182</v>
      </c>
      <c r="C12" s="1">
        <v>2003</v>
      </c>
      <c r="D12" s="1" t="s">
        <v>183</v>
      </c>
      <c r="E12" s="1" t="s">
        <v>554</v>
      </c>
      <c r="F12" s="1" t="s">
        <v>212</v>
      </c>
    </row>
    <row r="13" spans="1:9" x14ac:dyDescent="0.3">
      <c r="A13" s="20" t="s">
        <v>181</v>
      </c>
      <c r="B13" s="1" t="s">
        <v>182</v>
      </c>
      <c r="C13" s="1">
        <v>2003</v>
      </c>
      <c r="D13" s="1" t="s">
        <v>183</v>
      </c>
      <c r="E13" s="1" t="s">
        <v>555</v>
      </c>
      <c r="F13" s="1" t="s">
        <v>213</v>
      </c>
    </row>
    <row r="14" spans="1:9" x14ac:dyDescent="0.3">
      <c r="A14" s="20" t="s">
        <v>181</v>
      </c>
      <c r="B14" s="1" t="s">
        <v>182</v>
      </c>
      <c r="C14" s="1">
        <v>2003</v>
      </c>
      <c r="D14" s="1" t="s">
        <v>183</v>
      </c>
      <c r="E14" s="1" t="s">
        <v>561</v>
      </c>
      <c r="F14" s="25" t="s">
        <v>214</v>
      </c>
      <c r="I14" s="1" t="s">
        <v>222</v>
      </c>
    </row>
    <row r="15" spans="1:9" x14ac:dyDescent="0.3">
      <c r="A15" s="20" t="s">
        <v>181</v>
      </c>
      <c r="B15" s="1" t="s">
        <v>182</v>
      </c>
      <c r="C15" s="1">
        <v>2003</v>
      </c>
      <c r="D15" s="1" t="s">
        <v>183</v>
      </c>
      <c r="E15" s="1" t="s">
        <v>556</v>
      </c>
      <c r="F15" s="25" t="s">
        <v>215</v>
      </c>
    </row>
    <row r="16" spans="1:9" x14ac:dyDescent="0.3">
      <c r="A16" s="20" t="s">
        <v>181</v>
      </c>
      <c r="B16" s="1" t="s">
        <v>182</v>
      </c>
      <c r="C16" s="1">
        <v>2003</v>
      </c>
      <c r="D16" s="1" t="s">
        <v>183</v>
      </c>
      <c r="E16" s="1" t="s">
        <v>564</v>
      </c>
      <c r="F16" s="1" t="s">
        <v>221</v>
      </c>
      <c r="I16" s="1" t="s">
        <v>222</v>
      </c>
    </row>
    <row r="17" spans="1:9" x14ac:dyDescent="0.3">
      <c r="A17" s="20" t="s">
        <v>181</v>
      </c>
      <c r="B17" s="1" t="s">
        <v>182</v>
      </c>
      <c r="C17" s="1">
        <v>2003</v>
      </c>
      <c r="D17" s="1" t="s">
        <v>183</v>
      </c>
      <c r="E17" s="1" t="s">
        <v>558</v>
      </c>
      <c r="F17" s="1" t="s">
        <v>216</v>
      </c>
    </row>
    <row r="18" spans="1:9" x14ac:dyDescent="0.3">
      <c r="A18" s="20" t="s">
        <v>181</v>
      </c>
      <c r="B18" s="1" t="s">
        <v>182</v>
      </c>
      <c r="C18" s="1">
        <v>2003</v>
      </c>
      <c r="D18" s="1" t="s">
        <v>183</v>
      </c>
      <c r="E18" s="1" t="s">
        <v>559</v>
      </c>
      <c r="F18" s="1" t="s">
        <v>216</v>
      </c>
    </row>
    <row r="19" spans="1:9" x14ac:dyDescent="0.3">
      <c r="A19" s="20" t="s">
        <v>181</v>
      </c>
      <c r="B19" s="1" t="s">
        <v>182</v>
      </c>
      <c r="C19" s="1">
        <v>2003</v>
      </c>
      <c r="D19" s="1" t="s">
        <v>183</v>
      </c>
      <c r="E19" s="1" t="s">
        <v>565</v>
      </c>
      <c r="F19" s="1" t="s">
        <v>216</v>
      </c>
    </row>
    <row r="20" spans="1:9" x14ac:dyDescent="0.3">
      <c r="A20" s="20" t="s">
        <v>181</v>
      </c>
      <c r="B20" s="1" t="s">
        <v>182</v>
      </c>
      <c r="C20" s="1">
        <v>2003</v>
      </c>
      <c r="D20" s="1" t="s">
        <v>183</v>
      </c>
      <c r="E20" s="1" t="s">
        <v>560</v>
      </c>
      <c r="F20" s="1" t="s">
        <v>216</v>
      </c>
    </row>
    <row r="21" spans="1:9" x14ac:dyDescent="0.3">
      <c r="A21" s="20" t="s">
        <v>181</v>
      </c>
      <c r="B21" s="1" t="s">
        <v>182</v>
      </c>
      <c r="C21" s="1">
        <v>2010</v>
      </c>
      <c r="D21" s="1" t="s">
        <v>183</v>
      </c>
      <c r="E21" s="1" t="s">
        <v>554</v>
      </c>
      <c r="F21" s="1" t="s">
        <v>212</v>
      </c>
    </row>
    <row r="22" spans="1:9" x14ac:dyDescent="0.3">
      <c r="A22" s="20" t="s">
        <v>181</v>
      </c>
      <c r="B22" s="1" t="s">
        <v>182</v>
      </c>
      <c r="C22" s="1">
        <v>2010</v>
      </c>
      <c r="D22" s="1" t="s">
        <v>183</v>
      </c>
      <c r="E22" s="1" t="s">
        <v>223</v>
      </c>
      <c r="F22" s="1" t="s">
        <v>213</v>
      </c>
    </row>
    <row r="23" spans="1:9" x14ac:dyDescent="0.3">
      <c r="A23" s="20" t="s">
        <v>181</v>
      </c>
      <c r="B23" s="1" t="s">
        <v>182</v>
      </c>
      <c r="C23" s="1">
        <v>2010</v>
      </c>
      <c r="D23" s="1" t="s">
        <v>183</v>
      </c>
      <c r="E23" s="1" t="s">
        <v>561</v>
      </c>
      <c r="F23" s="25" t="s">
        <v>214</v>
      </c>
      <c r="I23" s="1" t="s">
        <v>222</v>
      </c>
    </row>
    <row r="24" spans="1:9" x14ac:dyDescent="0.3">
      <c r="A24" s="20" t="s">
        <v>181</v>
      </c>
      <c r="B24" s="1" t="s">
        <v>182</v>
      </c>
      <c r="C24" s="1">
        <v>2010</v>
      </c>
      <c r="D24" s="1" t="s">
        <v>183</v>
      </c>
      <c r="E24" s="1" t="s">
        <v>556</v>
      </c>
      <c r="F24" s="25" t="s">
        <v>215</v>
      </c>
    </row>
    <row r="25" spans="1:9" x14ac:dyDescent="0.3">
      <c r="A25" s="20" t="s">
        <v>181</v>
      </c>
      <c r="B25" s="1" t="s">
        <v>182</v>
      </c>
      <c r="C25" s="1">
        <v>2010</v>
      </c>
      <c r="D25" s="1" t="s">
        <v>183</v>
      </c>
      <c r="E25" s="1" t="s">
        <v>564</v>
      </c>
      <c r="F25" s="1" t="s">
        <v>221</v>
      </c>
      <c r="I25" s="1" t="s">
        <v>222</v>
      </c>
    </row>
    <row r="26" spans="1:9" x14ac:dyDescent="0.3">
      <c r="A26" s="20" t="s">
        <v>181</v>
      </c>
      <c r="B26" s="1" t="s">
        <v>182</v>
      </c>
      <c r="C26" s="1">
        <v>2010</v>
      </c>
      <c r="D26" s="1" t="s">
        <v>183</v>
      </c>
      <c r="E26" s="1" t="s">
        <v>224</v>
      </c>
      <c r="F26" s="1" t="s">
        <v>216</v>
      </c>
    </row>
    <row r="27" spans="1:9" x14ac:dyDescent="0.3">
      <c r="A27" s="20" t="s">
        <v>181</v>
      </c>
      <c r="B27" s="1" t="s">
        <v>182</v>
      </c>
      <c r="C27" s="1">
        <v>2010</v>
      </c>
      <c r="D27" s="1" t="s">
        <v>183</v>
      </c>
      <c r="E27" s="1" t="s">
        <v>559</v>
      </c>
      <c r="F27" s="1" t="s">
        <v>216</v>
      </c>
    </row>
    <row r="28" spans="1:9" x14ac:dyDescent="0.3">
      <c r="A28" s="20" t="s">
        <v>181</v>
      </c>
      <c r="B28" s="1" t="s">
        <v>182</v>
      </c>
      <c r="C28" s="1">
        <v>2010</v>
      </c>
      <c r="D28" s="1" t="s">
        <v>183</v>
      </c>
      <c r="E28" s="1" t="s">
        <v>565</v>
      </c>
      <c r="F28" s="1" t="s">
        <v>216</v>
      </c>
    </row>
    <row r="29" spans="1:9" x14ac:dyDescent="0.3">
      <c r="A29" s="20" t="s">
        <v>181</v>
      </c>
      <c r="B29" s="1" t="s">
        <v>182</v>
      </c>
      <c r="C29" s="1">
        <v>2010</v>
      </c>
      <c r="D29" s="1" t="s">
        <v>183</v>
      </c>
      <c r="E29" s="1" t="s">
        <v>560</v>
      </c>
      <c r="F29" s="1" t="s">
        <v>216</v>
      </c>
    </row>
    <row r="30" spans="1:9" x14ac:dyDescent="0.3">
      <c r="A30" s="20" t="s">
        <v>181</v>
      </c>
      <c r="B30" s="1" t="s">
        <v>182</v>
      </c>
      <c r="C30" s="1">
        <v>2017</v>
      </c>
      <c r="D30" s="1" t="s">
        <v>183</v>
      </c>
      <c r="E30" s="1" t="s">
        <v>554</v>
      </c>
      <c r="F30" s="1" t="s">
        <v>212</v>
      </c>
    </row>
    <row r="31" spans="1:9" x14ac:dyDescent="0.3">
      <c r="A31" s="20" t="s">
        <v>181</v>
      </c>
      <c r="B31" s="1" t="s">
        <v>182</v>
      </c>
      <c r="C31" s="1">
        <v>2017</v>
      </c>
      <c r="D31" s="1" t="s">
        <v>183</v>
      </c>
      <c r="E31" s="1" t="s">
        <v>566</v>
      </c>
      <c r="F31" s="1" t="s">
        <v>213</v>
      </c>
    </row>
    <row r="32" spans="1:9" x14ac:dyDescent="0.3">
      <c r="A32" s="20" t="s">
        <v>181</v>
      </c>
      <c r="B32" s="1" t="s">
        <v>182</v>
      </c>
      <c r="C32" s="1">
        <v>2017</v>
      </c>
      <c r="D32" s="1" t="s">
        <v>183</v>
      </c>
      <c r="E32" s="1" t="s">
        <v>561</v>
      </c>
      <c r="F32" s="25" t="s">
        <v>214</v>
      </c>
      <c r="I32" s="1" t="s">
        <v>222</v>
      </c>
    </row>
    <row r="33" spans="1:9" x14ac:dyDescent="0.3">
      <c r="A33" s="20" t="s">
        <v>181</v>
      </c>
      <c r="B33" s="1" t="s">
        <v>182</v>
      </c>
      <c r="C33" s="1">
        <v>2017</v>
      </c>
      <c r="D33" s="1" t="s">
        <v>183</v>
      </c>
      <c r="E33" s="1" t="s">
        <v>567</v>
      </c>
      <c r="F33" s="1" t="s">
        <v>218</v>
      </c>
    </row>
    <row r="34" spans="1:9" x14ac:dyDescent="0.3">
      <c r="A34" s="20" t="s">
        <v>181</v>
      </c>
      <c r="B34" s="1" t="s">
        <v>182</v>
      </c>
      <c r="C34" s="1">
        <v>2017</v>
      </c>
      <c r="D34" s="1" t="s">
        <v>183</v>
      </c>
      <c r="E34" s="1" t="s">
        <v>568</v>
      </c>
      <c r="F34" s="25" t="s">
        <v>215</v>
      </c>
    </row>
    <row r="35" spans="1:9" x14ac:dyDescent="0.3">
      <c r="A35" s="20" t="s">
        <v>181</v>
      </c>
      <c r="B35" s="1" t="s">
        <v>182</v>
      </c>
      <c r="C35" s="1">
        <v>2017</v>
      </c>
      <c r="D35" s="1" t="s">
        <v>183</v>
      </c>
      <c r="E35" s="1" t="s">
        <v>564</v>
      </c>
      <c r="F35" s="1" t="s">
        <v>225</v>
      </c>
      <c r="I35" s="1" t="s">
        <v>222</v>
      </c>
    </row>
    <row r="36" spans="1:9" x14ac:dyDescent="0.3">
      <c r="A36" s="20" t="s">
        <v>181</v>
      </c>
      <c r="B36" s="1" t="s">
        <v>182</v>
      </c>
      <c r="C36" s="1">
        <v>2017</v>
      </c>
      <c r="D36" s="1" t="s">
        <v>183</v>
      </c>
      <c r="E36" s="1" t="s">
        <v>559</v>
      </c>
      <c r="F36" s="1" t="s">
        <v>216</v>
      </c>
    </row>
    <row r="37" spans="1:9" x14ac:dyDescent="0.3">
      <c r="A37" s="20" t="s">
        <v>181</v>
      </c>
      <c r="B37" s="1" t="s">
        <v>182</v>
      </c>
      <c r="C37" s="1">
        <v>2017</v>
      </c>
      <c r="D37" s="1" t="s">
        <v>183</v>
      </c>
      <c r="E37" s="1" t="s">
        <v>224</v>
      </c>
      <c r="F37" s="1" t="s">
        <v>216</v>
      </c>
    </row>
    <row r="38" spans="1:9" x14ac:dyDescent="0.3">
      <c r="A38" s="20" t="s">
        <v>181</v>
      </c>
      <c r="B38" s="1" t="s">
        <v>182</v>
      </c>
      <c r="C38" s="1">
        <v>2017</v>
      </c>
      <c r="D38" s="1" t="s">
        <v>183</v>
      </c>
      <c r="E38" s="1" t="s">
        <v>565</v>
      </c>
      <c r="F38" s="1" t="s">
        <v>216</v>
      </c>
    </row>
    <row r="39" spans="1:9" x14ac:dyDescent="0.3">
      <c r="A39" s="20" t="s">
        <v>181</v>
      </c>
      <c r="B39" s="1" t="s">
        <v>182</v>
      </c>
      <c r="C39" s="1">
        <v>2017</v>
      </c>
      <c r="D39" s="1" t="s">
        <v>183</v>
      </c>
      <c r="E39" s="1" t="s">
        <v>569</v>
      </c>
      <c r="F39" s="1" t="s">
        <v>216</v>
      </c>
    </row>
    <row r="40" spans="1:9" x14ac:dyDescent="0.3">
      <c r="A40" s="20" t="s">
        <v>181</v>
      </c>
      <c r="B40" s="1" t="s">
        <v>182</v>
      </c>
      <c r="C40" s="1">
        <v>1992</v>
      </c>
      <c r="D40" s="1" t="s">
        <v>381</v>
      </c>
      <c r="E40" s="1" t="s">
        <v>570</v>
      </c>
      <c r="F40" s="1" t="s">
        <v>212</v>
      </c>
    </row>
    <row r="41" spans="1:9" x14ac:dyDescent="0.3">
      <c r="A41" s="20" t="s">
        <v>181</v>
      </c>
      <c r="B41" s="1" t="s">
        <v>182</v>
      </c>
      <c r="C41" s="1">
        <v>1992</v>
      </c>
      <c r="D41" s="1" t="s">
        <v>381</v>
      </c>
      <c r="E41" s="1" t="s">
        <v>571</v>
      </c>
      <c r="F41" s="1" t="s">
        <v>213</v>
      </c>
    </row>
    <row r="42" spans="1:9" x14ac:dyDescent="0.3">
      <c r="A42" s="20" t="s">
        <v>181</v>
      </c>
      <c r="B42" s="1" t="s">
        <v>182</v>
      </c>
      <c r="C42" s="1">
        <v>1992</v>
      </c>
      <c r="D42" s="1" t="s">
        <v>381</v>
      </c>
      <c r="E42" s="1" t="s">
        <v>392</v>
      </c>
      <c r="F42" s="1" t="s">
        <v>216</v>
      </c>
    </row>
    <row r="43" spans="1:9" x14ac:dyDescent="0.3">
      <c r="A43" s="20" t="s">
        <v>181</v>
      </c>
      <c r="B43" s="1" t="s">
        <v>182</v>
      </c>
      <c r="C43" s="1">
        <v>1992</v>
      </c>
      <c r="D43" s="1" t="s">
        <v>381</v>
      </c>
      <c r="E43" s="1" t="s">
        <v>393</v>
      </c>
      <c r="F43" s="1" t="s">
        <v>216</v>
      </c>
    </row>
    <row r="44" spans="1:9" x14ac:dyDescent="0.3">
      <c r="A44" s="20" t="s">
        <v>181</v>
      </c>
      <c r="B44" s="1" t="s">
        <v>182</v>
      </c>
      <c r="C44" s="1">
        <v>1992</v>
      </c>
      <c r="D44" s="1" t="s">
        <v>381</v>
      </c>
      <c r="E44" s="1" t="s">
        <v>394</v>
      </c>
      <c r="F44" s="1" t="s">
        <v>216</v>
      </c>
    </row>
    <row r="45" spans="1:9" x14ac:dyDescent="0.3">
      <c r="A45" s="20" t="s">
        <v>181</v>
      </c>
      <c r="B45" s="1" t="s">
        <v>182</v>
      </c>
      <c r="C45" s="1">
        <v>1992</v>
      </c>
      <c r="D45" s="1" t="s">
        <v>381</v>
      </c>
      <c r="E45" s="1" t="s">
        <v>572</v>
      </c>
      <c r="F45" s="25" t="s">
        <v>214</v>
      </c>
      <c r="I45" s="1" t="s">
        <v>222</v>
      </c>
    </row>
    <row r="46" spans="1:9" x14ac:dyDescent="0.3">
      <c r="A46" s="20" t="s">
        <v>181</v>
      </c>
      <c r="B46" s="1" t="s">
        <v>182</v>
      </c>
      <c r="C46" s="1">
        <v>1992</v>
      </c>
      <c r="D46" s="1" t="s">
        <v>381</v>
      </c>
      <c r="E46" s="1" t="s">
        <v>395</v>
      </c>
      <c r="F46" s="1" t="s">
        <v>218</v>
      </c>
      <c r="I46" s="1" t="s">
        <v>222</v>
      </c>
    </row>
    <row r="47" spans="1:9" x14ac:dyDescent="0.3">
      <c r="A47" s="20" t="s">
        <v>181</v>
      </c>
      <c r="B47" s="1" t="s">
        <v>182</v>
      </c>
      <c r="C47" s="1">
        <v>1992</v>
      </c>
      <c r="D47" s="1" t="s">
        <v>381</v>
      </c>
      <c r="E47" s="1" t="s">
        <v>396</v>
      </c>
      <c r="F47" s="25" t="s">
        <v>215</v>
      </c>
      <c r="I47" s="1" t="s">
        <v>222</v>
      </c>
    </row>
    <row r="48" spans="1:9" x14ac:dyDescent="0.3">
      <c r="A48" s="20" t="s">
        <v>181</v>
      </c>
      <c r="B48" s="1" t="s">
        <v>182</v>
      </c>
      <c r="C48" s="1">
        <v>2002</v>
      </c>
      <c r="D48" s="1" t="s">
        <v>381</v>
      </c>
      <c r="E48" s="1" t="s">
        <v>570</v>
      </c>
      <c r="F48" s="1" t="s">
        <v>212</v>
      </c>
    </row>
    <row r="49" spans="1:9" x14ac:dyDescent="0.3">
      <c r="A49" s="20" t="s">
        <v>181</v>
      </c>
      <c r="B49" s="1" t="s">
        <v>182</v>
      </c>
      <c r="C49" s="1">
        <v>2002</v>
      </c>
      <c r="D49" s="1" t="s">
        <v>381</v>
      </c>
      <c r="E49" s="1" t="s">
        <v>397</v>
      </c>
      <c r="F49" s="1" t="s">
        <v>213</v>
      </c>
    </row>
    <row r="50" spans="1:9" x14ac:dyDescent="0.3">
      <c r="A50" s="20" t="s">
        <v>181</v>
      </c>
      <c r="B50" s="1" t="s">
        <v>182</v>
      </c>
      <c r="C50" s="1">
        <v>2002</v>
      </c>
      <c r="D50" s="1" t="s">
        <v>381</v>
      </c>
      <c r="E50" s="1" t="s">
        <v>398</v>
      </c>
      <c r="F50" s="25" t="s">
        <v>214</v>
      </c>
      <c r="I50" s="1" t="s">
        <v>222</v>
      </c>
    </row>
    <row r="51" spans="1:9" x14ac:dyDescent="0.3">
      <c r="A51" s="20" t="s">
        <v>181</v>
      </c>
      <c r="B51" s="1" t="s">
        <v>182</v>
      </c>
      <c r="C51" s="1">
        <v>2002</v>
      </c>
      <c r="D51" s="1" t="s">
        <v>381</v>
      </c>
      <c r="E51" s="1" t="s">
        <v>399</v>
      </c>
      <c r="F51" s="25" t="s">
        <v>215</v>
      </c>
    </row>
    <row r="52" spans="1:9" x14ac:dyDescent="0.3">
      <c r="A52" s="20" t="s">
        <v>181</v>
      </c>
      <c r="B52" s="1" t="s">
        <v>182</v>
      </c>
      <c r="C52" s="1">
        <v>2002</v>
      </c>
      <c r="D52" s="1" t="s">
        <v>381</v>
      </c>
      <c r="E52" s="1" t="s">
        <v>400</v>
      </c>
      <c r="F52" s="1" t="s">
        <v>221</v>
      </c>
    </row>
    <row r="53" spans="1:9" x14ac:dyDescent="0.3">
      <c r="A53" s="20" t="s">
        <v>181</v>
      </c>
      <c r="B53" s="1" t="s">
        <v>182</v>
      </c>
      <c r="C53" s="1">
        <v>2002</v>
      </c>
      <c r="D53" s="1" t="s">
        <v>381</v>
      </c>
      <c r="E53" s="1" t="s">
        <v>401</v>
      </c>
      <c r="F53" s="1" t="s">
        <v>216</v>
      </c>
    </row>
    <row r="54" spans="1:9" x14ac:dyDescent="0.3">
      <c r="A54" s="20" t="s">
        <v>181</v>
      </c>
      <c r="B54" s="1" t="s">
        <v>182</v>
      </c>
      <c r="C54" s="1">
        <v>2002</v>
      </c>
      <c r="D54" s="1" t="s">
        <v>381</v>
      </c>
      <c r="E54" s="1" t="s">
        <v>394</v>
      </c>
      <c r="F54" s="1" t="s">
        <v>216</v>
      </c>
    </row>
    <row r="55" spans="1:9" x14ac:dyDescent="0.3">
      <c r="A55" s="20" t="s">
        <v>181</v>
      </c>
      <c r="B55" s="1" t="s">
        <v>182</v>
      </c>
      <c r="C55" s="1">
        <v>2002</v>
      </c>
      <c r="D55" s="1" t="s">
        <v>381</v>
      </c>
      <c r="E55" s="1" t="s">
        <v>402</v>
      </c>
      <c r="F55" s="1" t="s">
        <v>216</v>
      </c>
    </row>
    <row r="56" spans="1:9" x14ac:dyDescent="0.3">
      <c r="A56" s="20" t="s">
        <v>181</v>
      </c>
      <c r="B56" s="1" t="s">
        <v>182</v>
      </c>
      <c r="C56" s="1">
        <v>2005</v>
      </c>
      <c r="D56" s="1" t="s">
        <v>381</v>
      </c>
      <c r="E56" s="1" t="s">
        <v>570</v>
      </c>
      <c r="F56" s="1" t="s">
        <v>212</v>
      </c>
    </row>
    <row r="57" spans="1:9" x14ac:dyDescent="0.3">
      <c r="A57" s="20" t="s">
        <v>181</v>
      </c>
      <c r="B57" s="1" t="s">
        <v>182</v>
      </c>
      <c r="C57" s="1">
        <v>2005</v>
      </c>
      <c r="D57" s="1" t="s">
        <v>381</v>
      </c>
      <c r="E57" s="1" t="s">
        <v>397</v>
      </c>
      <c r="F57" s="1" t="s">
        <v>213</v>
      </c>
    </row>
    <row r="58" spans="1:9" x14ac:dyDescent="0.3">
      <c r="A58" s="20" t="s">
        <v>181</v>
      </c>
      <c r="B58" s="1" t="s">
        <v>182</v>
      </c>
      <c r="C58" s="1">
        <v>2005</v>
      </c>
      <c r="D58" s="1" t="s">
        <v>381</v>
      </c>
      <c r="E58" s="1" t="s">
        <v>398</v>
      </c>
      <c r="F58" s="25" t="s">
        <v>214</v>
      </c>
      <c r="I58" s="1" t="s">
        <v>222</v>
      </c>
    </row>
    <row r="59" spans="1:9" x14ac:dyDescent="0.3">
      <c r="A59" s="20" t="s">
        <v>181</v>
      </c>
      <c r="B59" s="1" t="s">
        <v>182</v>
      </c>
      <c r="C59" s="1">
        <v>2005</v>
      </c>
      <c r="D59" s="1" t="s">
        <v>381</v>
      </c>
      <c r="E59" s="1" t="s">
        <v>399</v>
      </c>
      <c r="F59" s="25" t="s">
        <v>215</v>
      </c>
    </row>
    <row r="60" spans="1:9" x14ac:dyDescent="0.3">
      <c r="A60" s="20" t="s">
        <v>181</v>
      </c>
      <c r="B60" s="1" t="s">
        <v>182</v>
      </c>
      <c r="C60" s="1">
        <v>2005</v>
      </c>
      <c r="D60" s="1" t="s">
        <v>381</v>
      </c>
      <c r="E60" s="1" t="s">
        <v>400</v>
      </c>
      <c r="F60" s="1" t="s">
        <v>221</v>
      </c>
    </row>
    <row r="61" spans="1:9" x14ac:dyDescent="0.3">
      <c r="A61" s="20" t="s">
        <v>181</v>
      </c>
      <c r="B61" s="1" t="s">
        <v>182</v>
      </c>
      <c r="C61" s="1">
        <v>2005</v>
      </c>
      <c r="D61" s="1" t="s">
        <v>381</v>
      </c>
      <c r="E61" s="1" t="s">
        <v>394</v>
      </c>
      <c r="F61" s="1" t="s">
        <v>216</v>
      </c>
    </row>
    <row r="62" spans="1:9" x14ac:dyDescent="0.3">
      <c r="A62" s="20" t="s">
        <v>181</v>
      </c>
      <c r="B62" s="1" t="s">
        <v>182</v>
      </c>
      <c r="C62" s="1">
        <v>2005</v>
      </c>
      <c r="D62" s="1" t="s">
        <v>381</v>
      </c>
      <c r="E62" s="1" t="s">
        <v>401</v>
      </c>
      <c r="F62" s="1" t="s">
        <v>216</v>
      </c>
    </row>
    <row r="63" spans="1:9" x14ac:dyDescent="0.3">
      <c r="A63" s="20" t="s">
        <v>181</v>
      </c>
      <c r="B63" s="1" t="s">
        <v>182</v>
      </c>
      <c r="C63" s="1">
        <v>2005</v>
      </c>
      <c r="D63" s="1" t="s">
        <v>381</v>
      </c>
      <c r="E63" s="1" t="s">
        <v>403</v>
      </c>
      <c r="F63" s="1" t="s">
        <v>216</v>
      </c>
    </row>
    <row r="64" spans="1:9" x14ac:dyDescent="0.3">
      <c r="A64" s="20" t="s">
        <v>181</v>
      </c>
      <c r="B64" s="1" t="s">
        <v>182</v>
      </c>
      <c r="C64" s="1">
        <v>2010</v>
      </c>
      <c r="D64" s="1" t="s">
        <v>381</v>
      </c>
      <c r="E64" s="1" t="s">
        <v>570</v>
      </c>
      <c r="F64" s="1" t="s">
        <v>212</v>
      </c>
    </row>
    <row r="65" spans="1:9" x14ac:dyDescent="0.3">
      <c r="A65" s="20" t="s">
        <v>181</v>
      </c>
      <c r="B65" s="1" t="s">
        <v>182</v>
      </c>
      <c r="C65" s="1">
        <v>2010</v>
      </c>
      <c r="D65" s="1" t="s">
        <v>381</v>
      </c>
      <c r="E65" s="1" t="s">
        <v>400</v>
      </c>
      <c r="F65" s="1" t="s">
        <v>213</v>
      </c>
    </row>
    <row r="66" spans="1:9" x14ac:dyDescent="0.3">
      <c r="A66" s="20" t="s">
        <v>181</v>
      </c>
      <c r="B66" s="1" t="s">
        <v>182</v>
      </c>
      <c r="C66" s="1">
        <v>2010</v>
      </c>
      <c r="D66" s="1" t="s">
        <v>381</v>
      </c>
      <c r="E66" s="1" t="s">
        <v>398</v>
      </c>
      <c r="F66" s="25" t="s">
        <v>407</v>
      </c>
      <c r="I66" s="1" t="s">
        <v>222</v>
      </c>
    </row>
    <row r="67" spans="1:9" x14ac:dyDescent="0.3">
      <c r="A67" s="20" t="s">
        <v>181</v>
      </c>
      <c r="B67" s="1" t="s">
        <v>182</v>
      </c>
      <c r="C67" s="1">
        <v>2010</v>
      </c>
      <c r="D67" s="1" t="s">
        <v>381</v>
      </c>
      <c r="E67" s="1" t="s">
        <v>401</v>
      </c>
      <c r="F67" s="1" t="s">
        <v>221</v>
      </c>
    </row>
    <row r="68" spans="1:9" x14ac:dyDescent="0.3">
      <c r="A68" s="20" t="s">
        <v>181</v>
      </c>
      <c r="B68" s="1" t="s">
        <v>182</v>
      </c>
      <c r="C68" s="1">
        <v>2010</v>
      </c>
      <c r="D68" s="1" t="s">
        <v>381</v>
      </c>
      <c r="E68" s="1" t="s">
        <v>403</v>
      </c>
      <c r="F68" s="1" t="s">
        <v>216</v>
      </c>
    </row>
    <row r="69" spans="1:9" x14ac:dyDescent="0.3">
      <c r="A69" s="20" t="s">
        <v>181</v>
      </c>
      <c r="B69" s="1" t="s">
        <v>182</v>
      </c>
      <c r="C69" s="1">
        <v>2010</v>
      </c>
      <c r="D69" s="1" t="s">
        <v>381</v>
      </c>
      <c r="E69" s="1" t="s">
        <v>404</v>
      </c>
      <c r="F69" s="1" t="s">
        <v>216</v>
      </c>
    </row>
    <row r="70" spans="1:9" x14ac:dyDescent="0.3">
      <c r="A70" s="20" t="s">
        <v>181</v>
      </c>
      <c r="B70" s="1" t="s">
        <v>182</v>
      </c>
      <c r="C70" s="1">
        <v>2010</v>
      </c>
      <c r="D70" s="1" t="s">
        <v>381</v>
      </c>
      <c r="E70" s="1" t="s">
        <v>405</v>
      </c>
      <c r="F70" s="1" t="s">
        <v>216</v>
      </c>
    </row>
    <row r="71" spans="1:9" x14ac:dyDescent="0.3">
      <c r="A71" s="20" t="s">
        <v>181</v>
      </c>
      <c r="B71" s="1" t="s">
        <v>182</v>
      </c>
      <c r="C71" s="1">
        <v>2010</v>
      </c>
      <c r="D71" s="1" t="s">
        <v>381</v>
      </c>
      <c r="E71" s="1" t="s">
        <v>406</v>
      </c>
      <c r="F71" s="1" t="s">
        <v>216</v>
      </c>
    </row>
    <row r="72" spans="1:9" x14ac:dyDescent="0.3">
      <c r="A72" s="20" t="s">
        <v>181</v>
      </c>
      <c r="B72" s="1" t="s">
        <v>182</v>
      </c>
      <c r="C72" s="1">
        <v>2015</v>
      </c>
      <c r="D72" s="1" t="s">
        <v>381</v>
      </c>
      <c r="E72" s="1" t="s">
        <v>400</v>
      </c>
      <c r="F72" s="1" t="s">
        <v>212</v>
      </c>
    </row>
    <row r="73" spans="1:9" x14ac:dyDescent="0.3">
      <c r="A73" s="20" t="s">
        <v>181</v>
      </c>
      <c r="B73" s="1" t="s">
        <v>182</v>
      </c>
      <c r="C73" s="1">
        <v>2015</v>
      </c>
      <c r="D73" s="1" t="s">
        <v>381</v>
      </c>
      <c r="E73" s="1" t="s">
        <v>403</v>
      </c>
      <c r="F73" s="1" t="s">
        <v>213</v>
      </c>
    </row>
    <row r="74" spans="1:9" x14ac:dyDescent="0.3">
      <c r="A74" s="20" t="s">
        <v>181</v>
      </c>
      <c r="B74" s="1" t="s">
        <v>182</v>
      </c>
      <c r="C74" s="1">
        <v>2015</v>
      </c>
      <c r="D74" s="1" t="s">
        <v>381</v>
      </c>
      <c r="E74" s="1" t="s">
        <v>398</v>
      </c>
      <c r="F74" s="25" t="s">
        <v>407</v>
      </c>
      <c r="I74" s="1" t="s">
        <v>222</v>
      </c>
    </row>
    <row r="75" spans="1:9" x14ac:dyDescent="0.3">
      <c r="A75" s="20" t="s">
        <v>181</v>
      </c>
      <c r="B75" s="1" t="s">
        <v>182</v>
      </c>
      <c r="C75" s="1">
        <v>2015</v>
      </c>
      <c r="D75" s="1" t="s">
        <v>381</v>
      </c>
      <c r="E75" s="1" t="s">
        <v>404</v>
      </c>
      <c r="F75" s="1" t="s">
        <v>221</v>
      </c>
    </row>
    <row r="76" spans="1:9" x14ac:dyDescent="0.3">
      <c r="A76" s="20" t="s">
        <v>181</v>
      </c>
      <c r="B76" s="1" t="s">
        <v>182</v>
      </c>
      <c r="C76" s="1">
        <v>2015</v>
      </c>
      <c r="D76" s="1" t="s">
        <v>381</v>
      </c>
      <c r="E76" s="1" t="s">
        <v>405</v>
      </c>
      <c r="F76" s="1" t="s">
        <v>216</v>
      </c>
    </row>
    <row r="77" spans="1:9" x14ac:dyDescent="0.3">
      <c r="A77" s="20" t="s">
        <v>181</v>
      </c>
      <c r="B77" s="1" t="s">
        <v>182</v>
      </c>
      <c r="C77" s="1">
        <v>2015</v>
      </c>
      <c r="D77" s="1" t="s">
        <v>381</v>
      </c>
      <c r="E77" s="1" t="s">
        <v>408</v>
      </c>
      <c r="F77" s="1" t="s">
        <v>216</v>
      </c>
    </row>
    <row r="78" spans="1:9" x14ac:dyDescent="0.3">
      <c r="A78" s="20" t="s">
        <v>181</v>
      </c>
      <c r="B78" s="1" t="s">
        <v>182</v>
      </c>
      <c r="C78" s="1">
        <v>2015</v>
      </c>
      <c r="D78" s="1" t="s">
        <v>381</v>
      </c>
      <c r="E78" s="1" t="s">
        <v>409</v>
      </c>
      <c r="F78" s="1" t="s">
        <v>216</v>
      </c>
    </row>
    <row r="79" spans="1:9" x14ac:dyDescent="0.3">
      <c r="A79" s="20" t="s">
        <v>181</v>
      </c>
      <c r="B79" s="1" t="s">
        <v>182</v>
      </c>
      <c r="C79" s="1">
        <v>2015</v>
      </c>
      <c r="D79" s="1" t="s">
        <v>381</v>
      </c>
      <c r="E79" s="1" t="s">
        <v>410</v>
      </c>
      <c r="F79" s="1" t="s">
        <v>216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9" sqref="A9"/>
    </sheetView>
  </sheetViews>
  <sheetFormatPr defaultColWidth="8.77734375" defaultRowHeight="14.4" x14ac:dyDescent="0.3"/>
  <cols>
    <col min="1" max="16384" width="8.77734375" style="1"/>
  </cols>
  <sheetData>
    <row r="1" spans="1:21" x14ac:dyDescent="0.3">
      <c r="A1" s="2" t="s">
        <v>0</v>
      </c>
      <c r="B1" s="2" t="s">
        <v>27</v>
      </c>
      <c r="C1" s="2" t="s">
        <v>2</v>
      </c>
      <c r="D1" s="2" t="s">
        <v>4</v>
      </c>
      <c r="E1" s="2" t="s">
        <v>24</v>
      </c>
      <c r="F1" s="2" t="s">
        <v>9</v>
      </c>
      <c r="G1" s="4" t="s">
        <v>124</v>
      </c>
      <c r="H1" s="4" t="s">
        <v>173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125</v>
      </c>
      <c r="U1" s="2" t="s">
        <v>96</v>
      </c>
    </row>
    <row r="2" spans="1:21" x14ac:dyDescent="0.3">
      <c r="A2" s="20" t="s">
        <v>181</v>
      </c>
      <c r="B2" s="1" t="s">
        <v>182</v>
      </c>
      <c r="C2" s="1">
        <v>1994</v>
      </c>
      <c r="D2" s="1">
        <v>1967</v>
      </c>
      <c r="E2" s="1" t="s">
        <v>183</v>
      </c>
      <c r="F2" s="1" t="s">
        <v>226</v>
      </c>
      <c r="G2" s="1" t="s">
        <v>187</v>
      </c>
      <c r="I2" s="1" t="s">
        <v>220</v>
      </c>
      <c r="L2" s="1">
        <v>10</v>
      </c>
      <c r="M2" s="1">
        <v>1</v>
      </c>
      <c r="N2" s="1">
        <v>3</v>
      </c>
      <c r="O2" s="1">
        <v>1</v>
      </c>
      <c r="Q2" s="1">
        <v>6272</v>
      </c>
      <c r="S2" s="1">
        <v>160</v>
      </c>
    </row>
    <row r="3" spans="1:21" x14ac:dyDescent="0.3">
      <c r="A3" s="20" t="s">
        <v>181</v>
      </c>
      <c r="B3" s="1" t="s">
        <v>182</v>
      </c>
      <c r="C3" s="1">
        <v>2003</v>
      </c>
      <c r="D3" s="1">
        <v>1967</v>
      </c>
      <c r="E3" s="1" t="s">
        <v>183</v>
      </c>
      <c r="F3" s="1" t="s">
        <v>226</v>
      </c>
      <c r="G3" s="1" t="s">
        <v>187</v>
      </c>
      <c r="I3" s="1" t="s">
        <v>194</v>
      </c>
      <c r="L3" s="1">
        <v>9</v>
      </c>
      <c r="M3" s="1">
        <v>1</v>
      </c>
      <c r="N3" s="1">
        <v>3</v>
      </c>
      <c r="O3" s="1">
        <v>1</v>
      </c>
      <c r="Q3" s="1">
        <v>7133</v>
      </c>
      <c r="S3" s="1">
        <v>160</v>
      </c>
    </row>
    <row r="4" spans="1:21" x14ac:dyDescent="0.3">
      <c r="A4" s="20" t="s">
        <v>181</v>
      </c>
      <c r="B4" s="1" t="s">
        <v>182</v>
      </c>
      <c r="C4" s="1">
        <v>2010</v>
      </c>
      <c r="D4" s="1">
        <v>1967</v>
      </c>
      <c r="E4" s="1" t="s">
        <v>183</v>
      </c>
      <c r="F4" s="1" t="s">
        <v>226</v>
      </c>
      <c r="G4" s="1" t="s">
        <v>187</v>
      </c>
      <c r="I4" s="1" t="s">
        <v>194</v>
      </c>
      <c r="L4" s="1">
        <v>11</v>
      </c>
      <c r="M4" s="1">
        <v>1</v>
      </c>
      <c r="N4" s="1">
        <v>3</v>
      </c>
      <c r="O4" s="1">
        <v>1</v>
      </c>
      <c r="Q4" s="1">
        <v>7236</v>
      </c>
      <c r="S4" s="1">
        <v>160</v>
      </c>
    </row>
    <row r="5" spans="1:21" x14ac:dyDescent="0.3">
      <c r="A5" s="20" t="s">
        <v>181</v>
      </c>
      <c r="B5" s="1" t="s">
        <v>182</v>
      </c>
      <c r="C5" s="1">
        <v>2017</v>
      </c>
      <c r="D5" s="1">
        <v>1967</v>
      </c>
      <c r="E5" s="1" t="s">
        <v>183</v>
      </c>
      <c r="F5" s="1" t="s">
        <v>226</v>
      </c>
      <c r="G5" s="1" t="s">
        <v>187</v>
      </c>
      <c r="I5" s="1" t="s">
        <v>194</v>
      </c>
      <c r="L5" s="1">
        <v>11</v>
      </c>
      <c r="M5" s="1">
        <v>1</v>
      </c>
      <c r="N5" s="1">
        <v>3</v>
      </c>
      <c r="O5" s="1">
        <v>1</v>
      </c>
      <c r="Q5" s="1">
        <v>7400</v>
      </c>
      <c r="S5" s="1">
        <v>200</v>
      </c>
    </row>
    <row r="6" spans="1:21" x14ac:dyDescent="0.3">
      <c r="A6" s="20" t="s">
        <v>181</v>
      </c>
      <c r="B6" s="1" t="s">
        <v>182</v>
      </c>
      <c r="C6" s="1">
        <v>1992</v>
      </c>
      <c r="D6" s="1">
        <v>1954</v>
      </c>
      <c r="E6" s="1" t="s">
        <v>381</v>
      </c>
      <c r="F6" s="1" t="s">
        <v>226</v>
      </c>
      <c r="G6" s="1" t="s">
        <v>187</v>
      </c>
      <c r="I6" s="1" t="s">
        <v>194</v>
      </c>
      <c r="M6" s="1">
        <v>1</v>
      </c>
      <c r="N6" s="1">
        <v>1</v>
      </c>
      <c r="O6" s="1">
        <v>1</v>
      </c>
    </row>
    <row r="7" spans="1:21" x14ac:dyDescent="0.3">
      <c r="A7" s="20" t="s">
        <v>181</v>
      </c>
      <c r="B7" s="1" t="s">
        <v>182</v>
      </c>
      <c r="C7" s="1">
        <v>2002</v>
      </c>
      <c r="D7" s="1">
        <v>1954</v>
      </c>
      <c r="E7" s="1" t="s">
        <v>381</v>
      </c>
      <c r="F7" s="1" t="s">
        <v>226</v>
      </c>
      <c r="G7" s="1" t="s">
        <v>187</v>
      </c>
      <c r="I7" s="1" t="s">
        <v>194</v>
      </c>
      <c r="J7" s="1">
        <f>2036-1954</f>
        <v>82</v>
      </c>
      <c r="M7" s="1">
        <v>1</v>
      </c>
      <c r="N7" s="1">
        <v>1</v>
      </c>
      <c r="O7" s="1">
        <v>1</v>
      </c>
      <c r="Q7" s="1">
        <v>4645</v>
      </c>
      <c r="U7" s="1" t="s">
        <v>578</v>
      </c>
    </row>
    <row r="8" spans="1:21" x14ac:dyDescent="0.3">
      <c r="A8" s="20" t="s">
        <v>181</v>
      </c>
      <c r="B8" s="1" t="s">
        <v>182</v>
      </c>
      <c r="C8" s="1">
        <v>2005</v>
      </c>
      <c r="D8" s="1">
        <v>1954</v>
      </c>
      <c r="E8" s="1" t="s">
        <v>381</v>
      </c>
      <c r="F8" s="1" t="s">
        <v>226</v>
      </c>
      <c r="G8" s="1" t="s">
        <v>187</v>
      </c>
      <c r="I8" s="1" t="s">
        <v>194</v>
      </c>
      <c r="L8" s="1">
        <v>10</v>
      </c>
      <c r="M8" s="1">
        <v>1</v>
      </c>
      <c r="N8" s="1">
        <v>1</v>
      </c>
      <c r="O8" s="1">
        <v>1</v>
      </c>
      <c r="Q8" s="1">
        <v>4637</v>
      </c>
      <c r="S8" s="1">
        <v>68.400000000000006</v>
      </c>
    </row>
    <row r="9" spans="1:21" x14ac:dyDescent="0.3">
      <c r="A9" s="20" t="s">
        <v>181</v>
      </c>
      <c r="B9" s="1" t="s">
        <v>182</v>
      </c>
      <c r="C9" s="1">
        <v>2010</v>
      </c>
      <c r="D9" s="1">
        <v>1954</v>
      </c>
      <c r="E9" s="1" t="s">
        <v>381</v>
      </c>
      <c r="F9" s="1" t="s">
        <v>226</v>
      </c>
      <c r="G9" s="1" t="s">
        <v>187</v>
      </c>
      <c r="I9" s="1" t="s">
        <v>194</v>
      </c>
      <c r="M9" s="1">
        <v>1</v>
      </c>
      <c r="N9" s="1">
        <v>1</v>
      </c>
      <c r="O9" s="1">
        <v>1</v>
      </c>
      <c r="Q9" s="1">
        <v>4600</v>
      </c>
      <c r="S9" s="1">
        <v>74.599999999999994</v>
      </c>
    </row>
    <row r="10" spans="1:21" x14ac:dyDescent="0.3">
      <c r="A10" s="20" t="s">
        <v>181</v>
      </c>
      <c r="B10" s="1" t="s">
        <v>182</v>
      </c>
      <c r="C10" s="1">
        <v>2015</v>
      </c>
      <c r="D10" s="1">
        <v>1954</v>
      </c>
      <c r="E10" s="1" t="s">
        <v>381</v>
      </c>
      <c r="F10" s="1" t="s">
        <v>226</v>
      </c>
      <c r="G10" s="1" t="s">
        <v>187</v>
      </c>
      <c r="I10" s="1" t="s">
        <v>194</v>
      </c>
      <c r="M10" s="1">
        <v>1</v>
      </c>
      <c r="N10" s="1">
        <v>1</v>
      </c>
      <c r="O10" s="1">
        <v>1</v>
      </c>
      <c r="Q10" s="1">
        <v>4573</v>
      </c>
      <c r="S10" s="1">
        <v>76.7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</cp:lastModifiedBy>
  <dcterms:created xsi:type="dcterms:W3CDTF">2019-08-01T16:52:11Z</dcterms:created>
  <dcterms:modified xsi:type="dcterms:W3CDTF">2019-12-02T21:19:38Z</dcterms:modified>
</cp:coreProperties>
</file>