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hidePivotFieldList="1"/>
  <mc:AlternateContent xmlns:mc="http://schemas.openxmlformats.org/markup-compatibility/2006">
    <mc:Choice Requires="x15">
      <x15ac:absPath xmlns:x15ac="http://schemas.microsoft.com/office/spreadsheetml/2010/11/ac" url="/Users/rubystanmyer/Library/Application Support/Box/Box Edit/Documents/539980952346/"/>
    </mc:Choice>
  </mc:AlternateContent>
  <xr:revisionPtr revIDLastSave="0" documentId="13_ncr:1_{4B5E86A1-3634-884A-9648-1144538ED4F8}" xr6:coauthVersionLast="45" xr6:coauthVersionMax="45" xr10:uidLastSave="{00000000-0000-0000-0000-000000000000}"/>
  <bookViews>
    <workbookView xWindow="0" yWindow="460" windowWidth="23260" windowHeight="12580" activeTab="1"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 name="financialIndicators" sheetId="21"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21" l="1"/>
  <c r="H20" i="21"/>
  <c r="K18" i="21"/>
  <c r="M19" i="21"/>
  <c r="O19" i="21"/>
  <c r="P18" i="21"/>
  <c r="U19" i="21"/>
  <c r="X18" i="21"/>
  <c r="AC19" i="21"/>
  <c r="AF18" i="21"/>
  <c r="AK19" i="21"/>
  <c r="E18" i="21"/>
  <c r="F18" i="21"/>
  <c r="I18" i="21"/>
  <c r="J18" i="21"/>
  <c r="E19" i="21"/>
  <c r="F19" i="21"/>
  <c r="I19" i="21"/>
  <c r="J19" i="21"/>
  <c r="K19" i="21"/>
  <c r="E20" i="21"/>
  <c r="F20" i="21"/>
  <c r="G20" i="21"/>
  <c r="I20" i="21"/>
  <c r="J20" i="21"/>
  <c r="K20" i="21"/>
  <c r="E21" i="21"/>
  <c r="F21" i="21"/>
  <c r="G21" i="21"/>
  <c r="H21" i="21"/>
  <c r="I21" i="21"/>
  <c r="J21" i="21"/>
  <c r="K21" i="21"/>
  <c r="E22" i="21"/>
  <c r="F22" i="21"/>
  <c r="G22" i="21"/>
  <c r="H22" i="21"/>
  <c r="I22" i="21"/>
  <c r="J22" i="21"/>
  <c r="K22" i="21"/>
  <c r="E23" i="21"/>
  <c r="F23" i="21"/>
  <c r="G23" i="21"/>
  <c r="H23" i="21"/>
  <c r="I23" i="21"/>
  <c r="J23" i="21"/>
  <c r="K23" i="21"/>
  <c r="E24" i="21"/>
  <c r="F24" i="21"/>
  <c r="G24" i="21"/>
  <c r="H24" i="21"/>
  <c r="I24" i="21"/>
  <c r="J24" i="21"/>
  <c r="K24" i="21"/>
  <c r="E25" i="21"/>
  <c r="F25" i="21"/>
  <c r="G25" i="21"/>
  <c r="H25" i="21"/>
  <c r="I25" i="21"/>
  <c r="J25" i="21"/>
  <c r="K25" i="21"/>
  <c r="E26" i="21"/>
  <c r="E27" i="21" s="1"/>
  <c r="F26" i="21"/>
  <c r="G26" i="21"/>
  <c r="H26" i="21"/>
  <c r="I26" i="21"/>
  <c r="I27" i="21" s="1"/>
  <c r="J26" i="21"/>
  <c r="K26" i="21"/>
  <c r="K27" i="21" s="1"/>
  <c r="F27" i="21"/>
  <c r="G27" i="21"/>
  <c r="H27" i="21"/>
  <c r="J27" i="21"/>
  <c r="AL26" i="21"/>
  <c r="AL27" i="21" s="1"/>
  <c r="AK26" i="21"/>
  <c r="Y26" i="21"/>
  <c r="Y27" i="21" s="1"/>
  <c r="X26" i="21"/>
  <c r="X27" i="21" s="1"/>
  <c r="W26" i="21"/>
  <c r="T26" i="21"/>
  <c r="T27" i="21" s="1"/>
  <c r="S26" i="21"/>
  <c r="S27" i="21" s="1"/>
  <c r="R26" i="21"/>
  <c r="R27" i="21" s="1"/>
  <c r="Q26" i="21"/>
  <c r="Q27" i="21" s="1"/>
  <c r="O26" i="21"/>
  <c r="N26" i="21"/>
  <c r="N27" i="21" s="1"/>
  <c r="M26" i="21"/>
  <c r="M27" i="21" s="1"/>
  <c r="L26" i="21"/>
  <c r="L27" i="21" s="1"/>
  <c r="AH24" i="21"/>
  <c r="Z24" i="21"/>
  <c r="X24" i="21"/>
  <c r="R24" i="21"/>
  <c r="P24" i="21"/>
  <c r="N24" i="21"/>
  <c r="M24" i="21"/>
  <c r="L24" i="21"/>
  <c r="N23" i="21"/>
  <c r="M23" i="21"/>
  <c r="L23" i="21"/>
  <c r="AL22" i="21"/>
  <c r="AD22" i="21"/>
  <c r="V22" i="21"/>
  <c r="N22" i="21"/>
  <c r="AG21" i="21"/>
  <c r="Y21" i="21"/>
  <c r="Q21" i="21"/>
  <c r="N21" i="21"/>
  <c r="M21" i="21"/>
  <c r="L21" i="21"/>
  <c r="AL20" i="21"/>
  <c r="AJ20" i="21"/>
  <c r="AD20" i="21"/>
  <c r="AB20" i="21"/>
  <c r="V20" i="21"/>
  <c r="T20" i="21"/>
  <c r="N20" i="21"/>
  <c r="L20" i="21"/>
  <c r="AG19" i="21"/>
  <c r="Y19" i="21"/>
  <c r="W19" i="21"/>
  <c r="Q19" i="21"/>
  <c r="AJ18" i="21"/>
  <c r="AH18" i="21"/>
  <c r="AB18" i="21"/>
  <c r="Z18" i="21"/>
  <c r="T18" i="21"/>
  <c r="R18" i="21"/>
  <c r="L18" i="21"/>
  <c r="AF26" i="21"/>
  <c r="AF27" i="21" s="1"/>
  <c r="AC26" i="21"/>
  <c r="AC27" i="21" s="1"/>
  <c r="V26" i="21"/>
  <c r="V27" i="21" s="1"/>
  <c r="P26" i="21"/>
  <c r="P27" i="21" s="1"/>
  <c r="AI26" i="21"/>
  <c r="AI27" i="21" s="1"/>
  <c r="AA26" i="21"/>
  <c r="AA27" i="21" s="1"/>
  <c r="AL24" i="21"/>
  <c r="AK24" i="21"/>
  <c r="AJ24" i="21"/>
  <c r="AI24" i="21"/>
  <c r="AG24" i="21"/>
  <c r="AF24" i="21"/>
  <c r="AE24" i="21"/>
  <c r="AD24" i="21"/>
  <c r="AC24" i="21"/>
  <c r="AB24" i="21"/>
  <c r="AA24" i="21"/>
  <c r="Y24" i="21"/>
  <c r="W24" i="21"/>
  <c r="V24" i="21"/>
  <c r="U24" i="21"/>
  <c r="T24" i="21"/>
  <c r="S24" i="21"/>
  <c r="Q24" i="21"/>
  <c r="O24" i="21"/>
  <c r="AL23" i="21"/>
  <c r="AK23" i="21"/>
  <c r="AJ25" i="21"/>
  <c r="AI25" i="21"/>
  <c r="AH23" i="21"/>
  <c r="AG23" i="21"/>
  <c r="AF23" i="21"/>
  <c r="AE23" i="21"/>
  <c r="AD23" i="21"/>
  <c r="AC23" i="21"/>
  <c r="AB25" i="21"/>
  <c r="AA25" i="21"/>
  <c r="Z23" i="21"/>
  <c r="Y23" i="21"/>
  <c r="X23" i="21"/>
  <c r="W23" i="21"/>
  <c r="V23" i="21"/>
  <c r="U23" i="21"/>
  <c r="T25" i="21"/>
  <c r="S25" i="21"/>
  <c r="R23" i="21"/>
  <c r="Q23" i="21"/>
  <c r="P23" i="21"/>
  <c r="O23" i="21"/>
  <c r="AK22" i="21"/>
  <c r="AJ22" i="21"/>
  <c r="AI22" i="21"/>
  <c r="AH22" i="21"/>
  <c r="AG22" i="21"/>
  <c r="AE22" i="21"/>
  <c r="AC22" i="21"/>
  <c r="AB22" i="21"/>
  <c r="AA22" i="21"/>
  <c r="Z22" i="21"/>
  <c r="Y22" i="21"/>
  <c r="W22" i="21"/>
  <c r="U22" i="21"/>
  <c r="T22" i="21"/>
  <c r="S22" i="21"/>
  <c r="R22" i="21"/>
  <c r="Q22" i="21"/>
  <c r="O22" i="21"/>
  <c r="AL21" i="21"/>
  <c r="AK21" i="21"/>
  <c r="AJ21" i="21"/>
  <c r="AI21" i="21"/>
  <c r="AH21" i="21"/>
  <c r="AF21" i="21"/>
  <c r="AE21" i="21"/>
  <c r="AD21" i="21"/>
  <c r="AC21" i="21"/>
  <c r="AB21" i="21"/>
  <c r="AA21" i="21"/>
  <c r="Z21" i="21"/>
  <c r="X21" i="21"/>
  <c r="W21" i="21"/>
  <c r="V21" i="21"/>
  <c r="U21" i="21"/>
  <c r="T21" i="21"/>
  <c r="S21" i="21"/>
  <c r="R21" i="21"/>
  <c r="P21" i="21"/>
  <c r="O21" i="21"/>
  <c r="AK27" i="21"/>
  <c r="AJ26" i="21"/>
  <c r="AJ27" i="21" s="1"/>
  <c r="AH26" i="21"/>
  <c r="AH27" i="21" s="1"/>
  <c r="AG26" i="21"/>
  <c r="AG27" i="21" s="1"/>
  <c r="AE25" i="21"/>
  <c r="AB26" i="21"/>
  <c r="AB27" i="21" s="1"/>
  <c r="Z26" i="21"/>
  <c r="Z27" i="21" s="1"/>
  <c r="W25" i="21"/>
  <c r="O25" i="21"/>
  <c r="L25" i="21"/>
  <c r="AF22" i="21"/>
  <c r="X22" i="21"/>
  <c r="P22" i="21"/>
  <c r="M22" i="21"/>
  <c r="L22" i="21"/>
  <c r="AL19" i="21"/>
  <c r="AJ19" i="21"/>
  <c r="AI20" i="21"/>
  <c r="AH20" i="21"/>
  <c r="AG18" i="21"/>
  <c r="AE18" i="21"/>
  <c r="AD19" i="21"/>
  <c r="AB19" i="21"/>
  <c r="AA20" i="21"/>
  <c r="Z20" i="21"/>
  <c r="Y18" i="21"/>
  <c r="W18" i="21"/>
  <c r="V19" i="21"/>
  <c r="T19" i="21"/>
  <c r="S20" i="21"/>
  <c r="R20" i="21"/>
  <c r="Q18" i="21"/>
  <c r="O18" i="21"/>
  <c r="N19" i="21"/>
  <c r="L19" i="21"/>
  <c r="H18" i="21" l="1"/>
  <c r="H19" i="21"/>
  <c r="G18" i="21"/>
  <c r="AE19" i="21"/>
  <c r="S23" i="21"/>
  <c r="AA23" i="21"/>
  <c r="AI23" i="21"/>
  <c r="M25" i="21"/>
  <c r="U25" i="21"/>
  <c r="AC25" i="21"/>
  <c r="AK25" i="21"/>
  <c r="O27" i="21"/>
  <c r="W27" i="21"/>
  <c r="S18" i="21"/>
  <c r="AA18" i="21"/>
  <c r="AI18" i="21"/>
  <c r="P19" i="21"/>
  <c r="X19" i="21"/>
  <c r="AF19" i="21"/>
  <c r="M20" i="21"/>
  <c r="U20" i="21"/>
  <c r="AC20" i="21"/>
  <c r="AK20" i="21"/>
  <c r="T23" i="21"/>
  <c r="AB23" i="21"/>
  <c r="AJ23" i="21"/>
  <c r="N25" i="21"/>
  <c r="V25" i="21"/>
  <c r="AD25" i="21"/>
  <c r="AL25" i="21"/>
  <c r="AD26" i="21"/>
  <c r="AD27" i="21" s="1"/>
  <c r="M18" i="21"/>
  <c r="U18" i="21"/>
  <c r="AC18" i="21"/>
  <c r="AK18" i="21"/>
  <c r="R19" i="21"/>
  <c r="Z19" i="21"/>
  <c r="AH19" i="21"/>
  <c r="O20" i="21"/>
  <c r="W20" i="21"/>
  <c r="AE20" i="21"/>
  <c r="P25" i="21"/>
  <c r="X25" i="21"/>
  <c r="AF25" i="21"/>
  <c r="AE26" i="21"/>
  <c r="AE27" i="21" s="1"/>
  <c r="N18" i="21"/>
  <c r="V18" i="21"/>
  <c r="AD18" i="21"/>
  <c r="AL18" i="21"/>
  <c r="S19" i="21"/>
  <c r="AA19" i="21"/>
  <c r="AI19" i="21"/>
  <c r="P20" i="21"/>
  <c r="X20" i="21"/>
  <c r="AF20" i="21"/>
  <c r="Q25" i="21"/>
  <c r="Y25" i="21"/>
  <c r="AG25" i="21"/>
  <c r="U26" i="21"/>
  <c r="U27" i="21" s="1"/>
  <c r="Q20" i="21"/>
  <c r="Y20" i="21"/>
  <c r="AG20" i="21"/>
  <c r="R25" i="21"/>
  <c r="Z25" i="21"/>
  <c r="AH25" i="21"/>
  <c r="I242" i="18"/>
  <c r="I238" i="18"/>
  <c r="G238" i="18"/>
  <c r="G240" i="18"/>
  <c r="I240" i="18" s="1"/>
  <c r="G241" i="18"/>
  <c r="I241" i="18" s="1"/>
  <c r="F241" i="18"/>
  <c r="F240" i="18"/>
  <c r="F239" i="18"/>
  <c r="G239" i="18" s="1"/>
  <c r="I239" i="18" s="1"/>
  <c r="K241" i="2"/>
  <c r="K240" i="2"/>
  <c r="K239" i="2"/>
  <c r="BD51" i="16"/>
  <c r="BD54" i="16" s="1"/>
  <c r="I255" i="10"/>
  <c r="I254" i="10"/>
  <c r="I253" i="10"/>
  <c r="I252" i="10"/>
  <c r="I88" i="12"/>
  <c r="I249" i="10"/>
  <c r="J239" i="2"/>
  <c r="J240" i="2" s="1"/>
  <c r="J241" i="2" s="1"/>
  <c r="J238" i="2"/>
  <c r="AN61" i="20"/>
  <c r="AM61" i="20"/>
  <c r="AM57" i="20"/>
  <c r="AM63" i="20" s="1"/>
  <c r="AN57" i="20"/>
  <c r="AN63" i="20" s="1"/>
  <c r="AN56" i="20"/>
  <c r="AM56" i="20"/>
  <c r="AN50" i="20"/>
  <c r="AM50" i="20"/>
  <c r="AN45" i="20"/>
  <c r="AM45" i="20"/>
  <c r="AN33" i="20"/>
  <c r="AN35" i="20" s="1"/>
  <c r="AM33" i="20"/>
  <c r="AM35" i="20" s="1"/>
  <c r="AN21" i="20"/>
  <c r="AM21" i="20"/>
  <c r="AN20" i="20"/>
  <c r="AM20" i="20"/>
  <c r="AN14" i="20"/>
  <c r="AM14" i="20"/>
  <c r="G233" i="18"/>
  <c r="G236" i="18"/>
  <c r="G237" i="18"/>
  <c r="G232" i="18"/>
  <c r="F237" i="18"/>
  <c r="F236" i="18"/>
  <c r="F235" i="18"/>
  <c r="G235" i="18" s="1"/>
  <c r="F234" i="18"/>
  <c r="G234" i="18" s="1"/>
  <c r="F233" i="18"/>
  <c r="K237" i="2"/>
  <c r="K236" i="2"/>
  <c r="K235" i="2"/>
  <c r="K234" i="2"/>
  <c r="K233" i="2"/>
  <c r="O277" i="19"/>
  <c r="O276" i="19"/>
  <c r="O275" i="19"/>
  <c r="O274" i="19"/>
  <c r="O273" i="19"/>
  <c r="O272" i="19"/>
  <c r="O271" i="19"/>
  <c r="O270" i="19"/>
  <c r="AU41" i="16"/>
  <c r="AU51" i="16" s="1"/>
  <c r="AU54" i="16" s="1"/>
  <c r="AU29" i="16"/>
  <c r="AU25" i="16"/>
  <c r="AU24" i="16"/>
  <c r="L89" i="14"/>
  <c r="L97" i="14"/>
  <c r="L87" i="14"/>
  <c r="AU18" i="16"/>
  <c r="L90" i="14" s="1"/>
  <c r="O263" i="19"/>
  <c r="O262" i="19"/>
  <c r="O261" i="19"/>
  <c r="O260" i="19"/>
  <c r="O259" i="19"/>
  <c r="O258" i="19"/>
  <c r="O257" i="19"/>
  <c r="O256" i="19"/>
  <c r="O249" i="19"/>
  <c r="O248" i="19"/>
  <c r="O247" i="19"/>
  <c r="O246" i="19"/>
  <c r="O245" i="19"/>
  <c r="O244" i="19"/>
  <c r="O243" i="19"/>
  <c r="O242" i="19"/>
  <c r="L80" i="14"/>
  <c r="L86" i="14"/>
  <c r="AP18" i="16"/>
  <c r="L45" i="14" s="1"/>
  <c r="AT51" i="16"/>
  <c r="AT54" i="16" s="1"/>
  <c r="AS51" i="16"/>
  <c r="AS54" i="16" s="1"/>
  <c r="AR51" i="16"/>
  <c r="AR54" i="16" s="1"/>
  <c r="AQ51" i="16"/>
  <c r="AQ54" i="16" s="1"/>
  <c r="AQ35" i="16"/>
  <c r="AP25" i="16"/>
  <c r="AS29" i="16"/>
  <c r="AT29" i="16"/>
  <c r="AR29" i="16"/>
  <c r="AQ29" i="16"/>
  <c r="AP29" i="16"/>
  <c r="AT25" i="16"/>
  <c r="AS25" i="16"/>
  <c r="AS35" i="16" s="1"/>
  <c r="AS36" i="16" s="1"/>
  <c r="AR25" i="16"/>
  <c r="AQ25" i="16"/>
  <c r="AT24" i="16"/>
  <c r="AS24" i="16"/>
  <c r="AR24" i="16"/>
  <c r="AR35" i="16" s="1"/>
  <c r="AR36" i="16" s="1"/>
  <c r="AQ24" i="16"/>
  <c r="AP24" i="16"/>
  <c r="AQ18" i="16"/>
  <c r="L63" i="14" s="1"/>
  <c r="AR18" i="16"/>
  <c r="AS18" i="16"/>
  <c r="AT18" i="16"/>
  <c r="L73" i="14" s="1"/>
  <c r="O235" i="19"/>
  <c r="O234" i="19"/>
  <c r="O233" i="19"/>
  <c r="O232" i="19"/>
  <c r="O231" i="19"/>
  <c r="O230" i="19"/>
  <c r="O229" i="19"/>
  <c r="O228" i="19"/>
  <c r="J232" i="2"/>
  <c r="J233" i="2" s="1"/>
  <c r="J234" i="2" s="1"/>
  <c r="J235" i="2" s="1"/>
  <c r="J236" i="2" s="1"/>
  <c r="J237" i="2" s="1"/>
  <c r="BC7" i="16"/>
  <c r="BC6" i="16"/>
  <c r="BC5" i="16"/>
  <c r="BC4" i="16"/>
  <c r="AP7" i="16"/>
  <c r="AP6" i="16"/>
  <c r="AP5" i="16"/>
  <c r="AP4" i="16"/>
  <c r="I75" i="12"/>
  <c r="I213" i="10"/>
  <c r="I215" i="10"/>
  <c r="I214" i="10"/>
  <c r="I210" i="10"/>
  <c r="J220" i="2"/>
  <c r="J221" i="2" s="1"/>
  <c r="J222" i="2" s="1"/>
  <c r="J223" i="2" s="1"/>
  <c r="J224" i="2" s="1"/>
  <c r="J225" i="2" s="1"/>
  <c r="J226" i="2" s="1"/>
  <c r="J227" i="2" s="1"/>
  <c r="J228" i="2" s="1"/>
  <c r="J229" i="2" s="1"/>
  <c r="J230" i="2" s="1"/>
  <c r="J231" i="2" s="1"/>
  <c r="AH61" i="20"/>
  <c r="AG61" i="20"/>
  <c r="AH57" i="20"/>
  <c r="AH56" i="20"/>
  <c r="AG56" i="20"/>
  <c r="AF56" i="20"/>
  <c r="AF57" i="20" s="1"/>
  <c r="AH50" i="20"/>
  <c r="AG50" i="20"/>
  <c r="AH45" i="20"/>
  <c r="AG45" i="20"/>
  <c r="AH33" i="20"/>
  <c r="AG33" i="20"/>
  <c r="AH21" i="20"/>
  <c r="AG21" i="20"/>
  <c r="AH20" i="20"/>
  <c r="AG20" i="20"/>
  <c r="AH14" i="20"/>
  <c r="AG14" i="20"/>
  <c r="AM56" i="16"/>
  <c r="AL56" i="16"/>
  <c r="AK51" i="16"/>
  <c r="AK54" i="16" s="1"/>
  <c r="AL51" i="16"/>
  <c r="AL54" i="16" s="1"/>
  <c r="AM51" i="16"/>
  <c r="AM54" i="16" s="1"/>
  <c r="AN51" i="16"/>
  <c r="AN54" i="16" s="1"/>
  <c r="AO51" i="16"/>
  <c r="AO54" i="16" s="1"/>
  <c r="AP51" i="16"/>
  <c r="AP54" i="16" s="1"/>
  <c r="AN30" i="16"/>
  <c r="AM30" i="16"/>
  <c r="AL30" i="16"/>
  <c r="AK29" i="16"/>
  <c r="AK30" i="16"/>
  <c r="AO29" i="16"/>
  <c r="AN29" i="16"/>
  <c r="AM29" i="16"/>
  <c r="AL29" i="16"/>
  <c r="AO25" i="16"/>
  <c r="AN25" i="16"/>
  <c r="AM25" i="16"/>
  <c r="AL25" i="16"/>
  <c r="AK25" i="16"/>
  <c r="AO24" i="16"/>
  <c r="AO35" i="16" s="1"/>
  <c r="AN24" i="16"/>
  <c r="AN35" i="16" s="1"/>
  <c r="AN36" i="16" s="1"/>
  <c r="AM24" i="16"/>
  <c r="AM35" i="16" s="1"/>
  <c r="AM36" i="16" s="1"/>
  <c r="AL24" i="16"/>
  <c r="AK24" i="16"/>
  <c r="AK18" i="16"/>
  <c r="AL18" i="16"/>
  <c r="AM18" i="16"/>
  <c r="AN18" i="16"/>
  <c r="AO18" i="16"/>
  <c r="AG57" i="20" l="1"/>
  <c r="AG63" i="20" s="1"/>
  <c r="AT35" i="16"/>
  <c r="AU35" i="16"/>
  <c r="AG35" i="20"/>
  <c r="AO36" i="16"/>
  <c r="AO55" i="16" s="1"/>
  <c r="AH63" i="20"/>
  <c r="AP35" i="16"/>
  <c r="AP36" i="16" s="1"/>
  <c r="AH35" i="20"/>
  <c r="L62" i="14"/>
  <c r="L68" i="14"/>
  <c r="L49" i="14"/>
  <c r="AS55" i="16"/>
  <c r="L70" i="14"/>
  <c r="L48" i="14"/>
  <c r="L69" i="14"/>
  <c r="L61" i="14"/>
  <c r="L60" i="14"/>
  <c r="L44" i="14"/>
  <c r="L43" i="14"/>
  <c r="L67" i="14"/>
  <c r="L42" i="14"/>
  <c r="L66" i="14"/>
  <c r="L52" i="14"/>
  <c r="L41" i="14"/>
  <c r="L78" i="14"/>
  <c r="L65" i="14"/>
  <c r="L57" i="14"/>
  <c r="L59" i="14"/>
  <c r="L39" i="14"/>
  <c r="L58" i="14"/>
  <c r="L51" i="14"/>
  <c r="L40" i="14"/>
  <c r="L72" i="14"/>
  <c r="L64" i="14"/>
  <c r="L56" i="14"/>
  <c r="AQ36" i="16"/>
  <c r="AQ55" i="16" s="1"/>
  <c r="AL35" i="16"/>
  <c r="AL36" i="16" s="1"/>
  <c r="L50" i="14"/>
  <c r="AR55" i="16"/>
  <c r="L55" i="14"/>
  <c r="L71" i="14"/>
  <c r="L79" i="14"/>
  <c r="L96" i="14"/>
  <c r="L88" i="14"/>
  <c r="L95" i="14"/>
  <c r="AT36" i="16"/>
  <c r="AT55" i="16" s="1"/>
  <c r="L85" i="14"/>
  <c r="L77" i="14"/>
  <c r="L102" i="14"/>
  <c r="L94" i="14"/>
  <c r="L84" i="14"/>
  <c r="L76" i="14"/>
  <c r="L101" i="14"/>
  <c r="L93" i="14"/>
  <c r="L83" i="14"/>
  <c r="L75" i="14"/>
  <c r="L100" i="14"/>
  <c r="L92" i="14"/>
  <c r="AU36" i="16"/>
  <c r="AU55" i="16" s="1"/>
  <c r="AU57" i="16" s="1"/>
  <c r="L82" i="14"/>
  <c r="L74" i="14"/>
  <c r="L99" i="14"/>
  <c r="L91" i="14"/>
  <c r="L81" i="14"/>
  <c r="L98" i="14"/>
  <c r="L47" i="14"/>
  <c r="L54" i="14"/>
  <c r="L46" i="14"/>
  <c r="L53" i="14"/>
  <c r="AL55" i="16"/>
  <c r="AN55" i="16"/>
  <c r="AM55" i="16"/>
  <c r="AM57" i="16" s="1"/>
  <c r="AN56" i="16" s="1"/>
  <c r="AK35" i="16"/>
  <c r="AK36" i="16" s="1"/>
  <c r="AK55" i="16" s="1"/>
  <c r="O188" i="19"/>
  <c r="O187" i="19"/>
  <c r="O186" i="19"/>
  <c r="O185" i="19"/>
  <c r="O184" i="19"/>
  <c r="O183" i="19"/>
  <c r="O182" i="19"/>
  <c r="O181" i="19"/>
  <c r="O180" i="19"/>
  <c r="O179" i="19"/>
  <c r="O178" i="19"/>
  <c r="O177" i="19"/>
  <c r="O176" i="19"/>
  <c r="O175" i="19"/>
  <c r="O174" i="19"/>
  <c r="O173" i="19"/>
  <c r="O172" i="19"/>
  <c r="O171" i="19"/>
  <c r="O170" i="19"/>
  <c r="O169" i="19"/>
  <c r="O168" i="19"/>
  <c r="O167" i="19"/>
  <c r="O166" i="19"/>
  <c r="O165" i="19"/>
  <c r="O164" i="19"/>
  <c r="O163" i="19"/>
  <c r="O162" i="19"/>
  <c r="I38" i="14"/>
  <c r="J206" i="2"/>
  <c r="J207" i="2" s="1"/>
  <c r="J208" i="2" s="1"/>
  <c r="J209" i="2" s="1"/>
  <c r="J210" i="2" s="1"/>
  <c r="J211" i="2" s="1"/>
  <c r="J212" i="2" s="1"/>
  <c r="J213" i="2" s="1"/>
  <c r="J214" i="2" s="1"/>
  <c r="J215" i="2" s="1"/>
  <c r="J216" i="2" s="1"/>
  <c r="J217" i="2" s="1"/>
  <c r="J218" i="2" s="1"/>
  <c r="J219" i="2" s="1"/>
  <c r="AE21" i="20"/>
  <c r="AE25" i="20" s="1"/>
  <c r="AD21" i="20"/>
  <c r="AD25" i="20"/>
  <c r="AE61" i="20"/>
  <c r="AD61" i="20"/>
  <c r="AE56" i="20"/>
  <c r="AD56" i="20"/>
  <c r="AE50" i="20"/>
  <c r="AD50" i="20"/>
  <c r="AE45" i="20"/>
  <c r="AD45" i="20"/>
  <c r="AE33" i="20"/>
  <c r="AD33" i="20"/>
  <c r="AE20" i="20"/>
  <c r="AD20" i="20"/>
  <c r="AE14" i="20"/>
  <c r="AD14" i="20"/>
  <c r="H203" i="18"/>
  <c r="H204" i="18"/>
  <c r="H205" i="18"/>
  <c r="H188" i="18"/>
  <c r="H189" i="18"/>
  <c r="H190" i="18"/>
  <c r="H191" i="18"/>
  <c r="H192" i="18"/>
  <c r="H193" i="18"/>
  <c r="H194" i="18"/>
  <c r="H195" i="18"/>
  <c r="H196" i="18"/>
  <c r="H197" i="18"/>
  <c r="H198" i="18"/>
  <c r="H199" i="18"/>
  <c r="H200" i="18"/>
  <c r="H201" i="18"/>
  <c r="H202" i="18"/>
  <c r="H187" i="18"/>
  <c r="AV51" i="16"/>
  <c r="AV54" i="16" s="1"/>
  <c r="AJ29" i="16"/>
  <c r="AI29" i="16"/>
  <c r="AH29" i="16"/>
  <c r="AF29" i="16"/>
  <c r="AD29" i="16"/>
  <c r="X32" i="16"/>
  <c r="Y32" i="16"/>
  <c r="AV35" i="16"/>
  <c r="AV18" i="16"/>
  <c r="I209" i="10"/>
  <c r="I201" i="10"/>
  <c r="I200" i="10"/>
  <c r="I199" i="10"/>
  <c r="I198" i="10"/>
  <c r="I62" i="12"/>
  <c r="I195" i="10"/>
  <c r="D41" i="5"/>
  <c r="J184" i="2"/>
  <c r="J185" i="2" s="1"/>
  <c r="J186" i="2" s="1"/>
  <c r="J187" i="2" s="1"/>
  <c r="J188" i="2" s="1"/>
  <c r="J189" i="2" s="1"/>
  <c r="J190" i="2" s="1"/>
  <c r="J192" i="2" s="1"/>
  <c r="J193" i="2" s="1"/>
  <c r="J194" i="2" s="1"/>
  <c r="J195" i="2" s="1"/>
  <c r="J196" i="2" s="1"/>
  <c r="J197" i="2" s="1"/>
  <c r="J198" i="2" s="1"/>
  <c r="J199" i="2" s="1"/>
  <c r="J200" i="2" s="1"/>
  <c r="J201" i="2" s="1"/>
  <c r="J202" i="2" s="1"/>
  <c r="J203" i="2" s="1"/>
  <c r="J204" i="2" s="1"/>
  <c r="J205" i="2" s="1"/>
  <c r="H184" i="18"/>
  <c r="H185" i="18"/>
  <c r="H186" i="18"/>
  <c r="H183" i="18"/>
  <c r="H182" i="18"/>
  <c r="H181" i="18"/>
  <c r="H180" i="18"/>
  <c r="H179" i="18"/>
  <c r="H178" i="18"/>
  <c r="H177" i="18"/>
  <c r="H176" i="18"/>
  <c r="H175" i="18"/>
  <c r="H174" i="18"/>
  <c r="H173" i="18"/>
  <c r="H172" i="18"/>
  <c r="H171" i="18"/>
  <c r="H170" i="18"/>
  <c r="H169" i="18"/>
  <c r="H168" i="18"/>
  <c r="F176" i="18"/>
  <c r="F178" i="18"/>
  <c r="F179" i="18"/>
  <c r="F180" i="18"/>
  <c r="F181" i="18"/>
  <c r="F182" i="18"/>
  <c r="F174" i="18"/>
  <c r="F173" i="18"/>
  <c r="F172" i="18"/>
  <c r="F171" i="18"/>
  <c r="F170" i="18"/>
  <c r="F169" i="18"/>
  <c r="F168" i="18"/>
  <c r="E177" i="18"/>
  <c r="F177" i="18" s="1"/>
  <c r="E175" i="18"/>
  <c r="F175" i="18" s="1"/>
  <c r="AW51" i="16"/>
  <c r="AW54" i="16" s="1"/>
  <c r="AW30" i="16"/>
  <c r="AW35" i="16" s="1"/>
  <c r="AW18" i="16"/>
  <c r="AA56" i="20"/>
  <c r="AA57" i="20" s="1"/>
  <c r="Z56" i="20"/>
  <c r="AA61" i="20"/>
  <c r="Z59" i="20"/>
  <c r="Z61" i="20" s="1"/>
  <c r="AA50" i="20"/>
  <c r="Z50" i="20"/>
  <c r="AA45" i="20"/>
  <c r="Z45" i="20"/>
  <c r="AA33" i="20"/>
  <c r="Z33" i="20"/>
  <c r="Z35" i="20" s="1"/>
  <c r="AA25" i="20"/>
  <c r="Z25" i="20"/>
  <c r="AA20" i="20"/>
  <c r="Z20" i="20"/>
  <c r="AA14" i="20"/>
  <c r="Z14" i="20"/>
  <c r="AJ32" i="16"/>
  <c r="AJ30" i="16"/>
  <c r="AJ25" i="16"/>
  <c r="AJ24" i="16"/>
  <c r="AH24" i="16"/>
  <c r="AI56" i="16"/>
  <c r="AI24" i="16"/>
  <c r="AI30" i="16"/>
  <c r="AI25" i="16"/>
  <c r="I52" i="12"/>
  <c r="M178" i="2"/>
  <c r="M176" i="2"/>
  <c r="I176" i="2"/>
  <c r="H178" i="2"/>
  <c r="H176" i="2"/>
  <c r="J169" i="2"/>
  <c r="J170" i="2" s="1"/>
  <c r="J171" i="2" s="1"/>
  <c r="J172" i="2" s="1"/>
  <c r="J173" i="2" s="1"/>
  <c r="J174" i="2" s="1"/>
  <c r="J175" i="2" s="1"/>
  <c r="AD57" i="20" l="1"/>
  <c r="AA35" i="20"/>
  <c r="AN57" i="16"/>
  <c r="AO56" i="16" s="1"/>
  <c r="AO57" i="16" s="1"/>
  <c r="AP56" i="16" s="1"/>
  <c r="AP57" i="16" s="1"/>
  <c r="AQ56" i="16" s="1"/>
  <c r="AQ57" i="16" s="1"/>
  <c r="AR56" i="16" s="1"/>
  <c r="AR57" i="16" s="1"/>
  <c r="AS56" i="16" s="1"/>
  <c r="AS57" i="16" s="1"/>
  <c r="AT56" i="16" s="1"/>
  <c r="AT57" i="16" s="1"/>
  <c r="Z57" i="20"/>
  <c r="AD63" i="20"/>
  <c r="AE57" i="20"/>
  <c r="AE63" i="20"/>
  <c r="AE35" i="20"/>
  <c r="AD35" i="20"/>
  <c r="AV36" i="16"/>
  <c r="AV55" i="16" s="1"/>
  <c r="AV57" i="16" s="1"/>
  <c r="AI35" i="16"/>
  <c r="AW36" i="16"/>
  <c r="AW55" i="16" s="1"/>
  <c r="AW57" i="16" s="1"/>
  <c r="AA63" i="20"/>
  <c r="Z63" i="20"/>
  <c r="J176" i="2"/>
  <c r="J177" i="2" s="1"/>
  <c r="J178" i="2" s="1"/>
  <c r="J179" i="2" s="1"/>
  <c r="J180" i="2" s="1"/>
  <c r="J181" i="2" s="1"/>
  <c r="J182" i="2" s="1"/>
  <c r="J183" i="2" s="1"/>
  <c r="H148" i="18"/>
  <c r="H149" i="18"/>
  <c r="H150" i="18"/>
  <c r="H151" i="18"/>
  <c r="H152" i="18"/>
  <c r="H153" i="18"/>
  <c r="H154" i="18"/>
  <c r="H155" i="18"/>
  <c r="H156" i="18"/>
  <c r="H157" i="18"/>
  <c r="H158" i="18"/>
  <c r="H159" i="18"/>
  <c r="H160" i="18"/>
  <c r="H161" i="18"/>
  <c r="H162" i="18"/>
  <c r="H163" i="18"/>
  <c r="H164" i="18"/>
  <c r="H165" i="18"/>
  <c r="H166" i="18"/>
  <c r="H167" i="18"/>
  <c r="H147" i="18"/>
  <c r="F148" i="18"/>
  <c r="F149" i="18"/>
  <c r="F150" i="18"/>
  <c r="F151" i="18"/>
  <c r="F152" i="18"/>
  <c r="F153" i="18"/>
  <c r="F154" i="18"/>
  <c r="F155" i="18"/>
  <c r="F156" i="18"/>
  <c r="F157" i="18"/>
  <c r="F158" i="18"/>
  <c r="F159" i="18"/>
  <c r="F160" i="18"/>
  <c r="F161" i="18"/>
  <c r="F162" i="18"/>
  <c r="F163" i="18"/>
  <c r="F164" i="18"/>
  <c r="F165" i="18"/>
  <c r="F166" i="18"/>
  <c r="F167" i="18"/>
  <c r="F147" i="18"/>
  <c r="AF41" i="16"/>
  <c r="AH51" i="16"/>
  <c r="AH54" i="16" s="1"/>
  <c r="AD41" i="16"/>
  <c r="AD51" i="16" s="1"/>
  <c r="AD54" i="16" s="1"/>
  <c r="AH30" i="16"/>
  <c r="AF30" i="16"/>
  <c r="AD30" i="16"/>
  <c r="AH25" i="16"/>
  <c r="AF25" i="16"/>
  <c r="AD25" i="16"/>
  <c r="AF24" i="16"/>
  <c r="AD24" i="16"/>
  <c r="AH18" i="16"/>
  <c r="AD18" i="16"/>
  <c r="X61" i="20"/>
  <c r="W59" i="20"/>
  <c r="W61" i="20" s="1"/>
  <c r="X56" i="20"/>
  <c r="W56" i="20"/>
  <c r="X50" i="20"/>
  <c r="W50" i="20"/>
  <c r="X45" i="20"/>
  <c r="W45" i="20"/>
  <c r="X33" i="20"/>
  <c r="W33" i="20"/>
  <c r="X25" i="20"/>
  <c r="W25" i="20"/>
  <c r="X20" i="20"/>
  <c r="W20" i="20"/>
  <c r="X14" i="20"/>
  <c r="W14" i="20"/>
  <c r="H17" i="14"/>
  <c r="AD35" i="16" l="1"/>
  <c r="AD36" i="16" s="1"/>
  <c r="AD55" i="16" s="1"/>
  <c r="AD57" i="16" s="1"/>
  <c r="AH35" i="16"/>
  <c r="AH36" i="16" s="1"/>
  <c r="AH55" i="16" s="1"/>
  <c r="AH57" i="16" s="1"/>
  <c r="X35" i="20"/>
  <c r="W57" i="20"/>
  <c r="W63" i="20" s="1"/>
  <c r="W35" i="20"/>
  <c r="X57" i="20"/>
  <c r="X63" i="20" s="1"/>
  <c r="J148" i="2"/>
  <c r="J149" i="2" s="1"/>
  <c r="J150" i="2" s="1"/>
  <c r="J151" i="2" s="1"/>
  <c r="J152" i="2" s="1"/>
  <c r="J153" i="2" s="1"/>
  <c r="J154" i="2" s="1"/>
  <c r="J155" i="2" s="1"/>
  <c r="J156" i="2" s="1"/>
  <c r="J157" i="2" s="1"/>
  <c r="J158" i="2" s="1"/>
  <c r="J159" i="2" s="1"/>
  <c r="J160" i="2" s="1"/>
  <c r="J161" i="2" s="1"/>
  <c r="J162" i="2" s="1"/>
  <c r="J163" i="2" s="1"/>
  <c r="J164" i="2" s="1"/>
  <c r="J165" i="2" s="1"/>
  <c r="J166" i="2" s="1"/>
  <c r="J167" i="2" s="1"/>
  <c r="J168" i="2" s="1"/>
  <c r="H134" i="18" l="1"/>
  <c r="H138" i="18"/>
  <c r="H142" i="18"/>
  <c r="H146" i="18"/>
  <c r="G131" i="18"/>
  <c r="H131" i="18" s="1"/>
  <c r="G132" i="18"/>
  <c r="H132" i="18" s="1"/>
  <c r="G133" i="18"/>
  <c r="H133" i="18" s="1"/>
  <c r="G134" i="18"/>
  <c r="G135" i="18"/>
  <c r="H135" i="18" s="1"/>
  <c r="G136" i="18"/>
  <c r="H136" i="18" s="1"/>
  <c r="G137" i="18"/>
  <c r="H137" i="18" s="1"/>
  <c r="G138" i="18"/>
  <c r="G139" i="18"/>
  <c r="H139" i="18" s="1"/>
  <c r="G140" i="18"/>
  <c r="H140" i="18" s="1"/>
  <c r="G141" i="18"/>
  <c r="H141" i="18" s="1"/>
  <c r="G142" i="18"/>
  <c r="G143" i="18"/>
  <c r="H143" i="18" s="1"/>
  <c r="G144" i="18"/>
  <c r="H144" i="18" s="1"/>
  <c r="G145" i="18"/>
  <c r="H145" i="18" s="1"/>
  <c r="G146" i="18"/>
  <c r="G130" i="18"/>
  <c r="H130" i="18" s="1"/>
  <c r="D27" i="5"/>
  <c r="J132" i="2"/>
  <c r="J133" i="2" s="1"/>
  <c r="J134" i="2" s="1"/>
  <c r="J135" i="2" s="1"/>
  <c r="J136" i="2" s="1"/>
  <c r="J137" i="2" s="1"/>
  <c r="J138" i="2" s="1"/>
  <c r="J139" i="2" s="1"/>
  <c r="J140" i="2" s="1"/>
  <c r="J141" i="2" s="1"/>
  <c r="J142" i="2" s="1"/>
  <c r="J143" i="2" s="1"/>
  <c r="J144" i="2" s="1"/>
  <c r="J145" i="2" s="1"/>
  <c r="J146" i="2" s="1"/>
  <c r="J147" i="2" s="1"/>
  <c r="AF35" i="16"/>
  <c r="AF51" i="16"/>
  <c r="AF54" i="16" s="1"/>
  <c r="AF18" i="16"/>
  <c r="V61" i="20"/>
  <c r="U61" i="20"/>
  <c r="V56" i="20"/>
  <c r="U56" i="20"/>
  <c r="P56" i="20"/>
  <c r="O56" i="20"/>
  <c r="V50" i="20"/>
  <c r="U50" i="20"/>
  <c r="H56" i="20"/>
  <c r="G56" i="20"/>
  <c r="F56" i="20"/>
  <c r="E56" i="20"/>
  <c r="V45" i="20"/>
  <c r="U45" i="20"/>
  <c r="V33" i="20"/>
  <c r="U33" i="20"/>
  <c r="V25" i="20"/>
  <c r="U25" i="20"/>
  <c r="V20" i="20"/>
  <c r="U20" i="20"/>
  <c r="V14" i="20"/>
  <c r="U14" i="20"/>
  <c r="AE56" i="16"/>
  <c r="AE7" i="16"/>
  <c r="AE6" i="16"/>
  <c r="AE5" i="16"/>
  <c r="AE4" i="16"/>
  <c r="I119" i="18"/>
  <c r="I121" i="18"/>
  <c r="I122" i="18"/>
  <c r="I123" i="18"/>
  <c r="I125" i="18"/>
  <c r="I126" i="18"/>
  <c r="I127" i="18"/>
  <c r="I128" i="18"/>
  <c r="I129" i="18"/>
  <c r="H124" i="18"/>
  <c r="I124" i="18" s="1"/>
  <c r="H123" i="18"/>
  <c r="H122" i="18"/>
  <c r="H121" i="18"/>
  <c r="H120" i="18"/>
  <c r="I120" i="18" s="1"/>
  <c r="H119" i="18"/>
  <c r="H118" i="18"/>
  <c r="I118" i="18" s="1"/>
  <c r="H117" i="18"/>
  <c r="I117" i="18" s="1"/>
  <c r="K40" i="12"/>
  <c r="I40" i="12" s="1"/>
  <c r="K39" i="12"/>
  <c r="I39" i="12" s="1"/>
  <c r="K38" i="12"/>
  <c r="I38" i="12" s="1"/>
  <c r="K37" i="12"/>
  <c r="I37" i="12" s="1"/>
  <c r="I146" i="10"/>
  <c r="I144" i="10"/>
  <c r="I143" i="10"/>
  <c r="I145" i="10" s="1"/>
  <c r="I140" i="10"/>
  <c r="J118" i="2"/>
  <c r="J119" i="2" s="1"/>
  <c r="J120" i="2" s="1"/>
  <c r="J121" i="2" s="1"/>
  <c r="J122" i="2" s="1"/>
  <c r="J123" i="2" s="1"/>
  <c r="J124" i="2" s="1"/>
  <c r="J125" i="2" s="1"/>
  <c r="J126" i="2" s="1"/>
  <c r="J127" i="2" s="1"/>
  <c r="J128" i="2" s="1"/>
  <c r="J129" i="2" s="1"/>
  <c r="J130" i="2" s="1"/>
  <c r="U35" i="20" l="1"/>
  <c r="AF36" i="16"/>
  <c r="AF55" i="16" s="1"/>
  <c r="AF57" i="16" s="1"/>
  <c r="V35" i="20"/>
  <c r="V57" i="20"/>
  <c r="V63" i="20" s="1"/>
  <c r="U57" i="20"/>
  <c r="U63" i="20" s="1"/>
  <c r="K41" i="12"/>
  <c r="I41" i="12" s="1"/>
  <c r="P47" i="20" l="1"/>
  <c r="P50" i="20" s="1"/>
  <c r="O50" i="20"/>
  <c r="P45" i="20"/>
  <c r="O45" i="20"/>
  <c r="P33" i="20"/>
  <c r="O33" i="20"/>
  <c r="N33" i="20"/>
  <c r="M33" i="20"/>
  <c r="L33" i="20"/>
  <c r="K33" i="20"/>
  <c r="J33" i="20"/>
  <c r="I33" i="20"/>
  <c r="P25" i="20"/>
  <c r="O25" i="20"/>
  <c r="N25" i="20"/>
  <c r="M25" i="20"/>
  <c r="L25" i="20"/>
  <c r="K25" i="20"/>
  <c r="J25" i="20"/>
  <c r="I25" i="20"/>
  <c r="P20" i="20"/>
  <c r="O20" i="20"/>
  <c r="P14" i="20"/>
  <c r="O14" i="20"/>
  <c r="W51" i="16"/>
  <c r="W54" i="16" s="1"/>
  <c r="W35" i="16"/>
  <c r="W18" i="16"/>
  <c r="Y7" i="16"/>
  <c r="Y6" i="16"/>
  <c r="Y4" i="16"/>
  <c r="Y5" i="16"/>
  <c r="I35" i="20" l="1"/>
  <c r="O35" i="20"/>
  <c r="J35" i="20"/>
  <c r="L35" i="20"/>
  <c r="O57" i="20"/>
  <c r="O63" i="20" s="1"/>
  <c r="M35" i="20"/>
  <c r="K35" i="20"/>
  <c r="N35" i="20"/>
  <c r="P57" i="20"/>
  <c r="P63" i="20" s="1"/>
  <c r="W36" i="16"/>
  <c r="W55" i="16" s="1"/>
  <c r="P35" i="20"/>
  <c r="I100" i="18" l="1"/>
  <c r="I101" i="18"/>
  <c r="I102" i="18"/>
  <c r="I103" i="18"/>
  <c r="I104" i="18"/>
  <c r="I105" i="18"/>
  <c r="I106" i="18"/>
  <c r="I107" i="18"/>
  <c r="I108" i="18"/>
  <c r="I109" i="18"/>
  <c r="I110" i="18"/>
  <c r="I111" i="18"/>
  <c r="I112" i="18"/>
  <c r="I113" i="18"/>
  <c r="I114" i="18"/>
  <c r="I115" i="18"/>
  <c r="I116" i="18"/>
  <c r="I99" i="18"/>
  <c r="I115" i="10"/>
  <c r="I114" i="10"/>
  <c r="I113" i="10"/>
  <c r="I112" i="10"/>
  <c r="I109" i="10"/>
  <c r="K32" i="12"/>
  <c r="K31" i="12"/>
  <c r="I31" i="12" s="1"/>
  <c r="K20" i="12"/>
  <c r="K19" i="12"/>
  <c r="K18" i="12"/>
  <c r="K17" i="12"/>
  <c r="K8" i="12"/>
  <c r="K7" i="12"/>
  <c r="K6" i="12"/>
  <c r="K5" i="12"/>
  <c r="K4" i="12"/>
  <c r="K30" i="12"/>
  <c r="I30" i="12"/>
  <c r="J101" i="2"/>
  <c r="J102" i="2" s="1"/>
  <c r="J103" i="2" s="1"/>
  <c r="J104" i="2" s="1"/>
  <c r="J105" i="2" s="1"/>
  <c r="J106" i="2" s="1"/>
  <c r="J107" i="2" s="1"/>
  <c r="J108" i="2" s="1"/>
  <c r="J109" i="2" s="1"/>
  <c r="J110" i="2" s="1"/>
  <c r="J111" i="2" s="1"/>
  <c r="J112" i="2" s="1"/>
  <c r="J113" i="2" s="1"/>
  <c r="J114" i="2" s="1"/>
  <c r="J115" i="2" s="1"/>
  <c r="J116" i="2" s="1"/>
  <c r="J117" i="2" s="1"/>
  <c r="I32" i="12" l="1"/>
  <c r="K33" i="12"/>
  <c r="H76" i="18"/>
  <c r="H77" i="18"/>
  <c r="H78" i="18"/>
  <c r="H75" i="18"/>
  <c r="H79" i="18"/>
  <c r="H80" i="18"/>
  <c r="H81" i="18"/>
  <c r="H82" i="18"/>
  <c r="H83" i="18"/>
  <c r="H84" i="18"/>
  <c r="H85" i="18"/>
  <c r="H86" i="18"/>
  <c r="H87" i="18"/>
  <c r="H88" i="18"/>
  <c r="H89" i="18"/>
  <c r="H90" i="18"/>
  <c r="H91" i="18"/>
  <c r="H92" i="18"/>
  <c r="H93" i="18"/>
  <c r="H94" i="18"/>
  <c r="H95" i="18"/>
  <c r="H96" i="18"/>
  <c r="H97" i="18"/>
  <c r="H98" i="18"/>
  <c r="H74" i="18"/>
  <c r="V51" i="16"/>
  <c r="V54" i="16" s="1"/>
  <c r="V35" i="16"/>
  <c r="V18" i="16"/>
  <c r="T51" i="16"/>
  <c r="T54" i="16" s="1"/>
  <c r="T35" i="16"/>
  <c r="T18" i="16"/>
  <c r="R51" i="16"/>
  <c r="R54" i="16" s="1"/>
  <c r="R35" i="16"/>
  <c r="R18" i="16"/>
  <c r="P51" i="16"/>
  <c r="P54" i="16" s="1"/>
  <c r="P35" i="16"/>
  <c r="P18" i="16"/>
  <c r="N51" i="16"/>
  <c r="N54" i="16" s="1"/>
  <c r="N35" i="16"/>
  <c r="N18" i="16"/>
  <c r="K34" i="12" l="1"/>
  <c r="I34" i="12" s="1"/>
  <c r="I33" i="12"/>
  <c r="N36" i="16"/>
  <c r="N55" i="16" s="1"/>
  <c r="N57" i="16" s="1"/>
  <c r="V36" i="16"/>
  <c r="V55" i="16" s="1"/>
  <c r="V57" i="16" s="1"/>
  <c r="T36" i="16"/>
  <c r="T55" i="16" s="1"/>
  <c r="T57" i="16" s="1"/>
  <c r="R36" i="16"/>
  <c r="R55" i="16" s="1"/>
  <c r="R57" i="16" s="1"/>
  <c r="P36" i="16"/>
  <c r="J75" i="2"/>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K21" i="12"/>
  <c r="I21" i="12" s="1"/>
  <c r="I20" i="12"/>
  <c r="M51" i="16"/>
  <c r="M54" i="16" s="1"/>
  <c r="U13" i="16"/>
  <c r="S13" i="16"/>
  <c r="Q13" i="16"/>
  <c r="O13" i="16"/>
  <c r="M35" i="16"/>
  <c r="U4" i="16"/>
  <c r="U7" i="16"/>
  <c r="U6" i="16"/>
  <c r="U5" i="16"/>
  <c r="M18" i="16"/>
  <c r="I67" i="10"/>
  <c r="I66" i="10"/>
  <c r="I65" i="10"/>
  <c r="I68" i="10" s="1"/>
  <c r="I62" i="10"/>
  <c r="I19" i="12"/>
  <c r="I18" i="12"/>
  <c r="I17" i="12"/>
  <c r="G54" i="18"/>
  <c r="G55" i="18"/>
  <c r="G56" i="18"/>
  <c r="G57" i="18"/>
  <c r="G58" i="18"/>
  <c r="G59" i="18"/>
  <c r="G60" i="18"/>
  <c r="G61" i="18"/>
  <c r="G62" i="18"/>
  <c r="G63" i="18"/>
  <c r="G64" i="18"/>
  <c r="G65" i="18"/>
  <c r="G66" i="18"/>
  <c r="G67" i="18"/>
  <c r="G68" i="18"/>
  <c r="G69" i="18"/>
  <c r="G70" i="18"/>
  <c r="G71" i="18"/>
  <c r="G72" i="18"/>
  <c r="G73" i="18"/>
  <c r="G53" i="18"/>
  <c r="J54" i="2"/>
  <c r="J55" i="2" s="1"/>
  <c r="J56" i="2" s="1"/>
  <c r="J57" i="2" s="1"/>
  <c r="J58" i="2" s="1"/>
  <c r="J59" i="2" s="1"/>
  <c r="J60" i="2" s="1"/>
  <c r="J61" i="2" s="1"/>
  <c r="J62" i="2" s="1"/>
  <c r="J63" i="2" s="1"/>
  <c r="J64" i="2" s="1"/>
  <c r="J65" i="2" s="1"/>
  <c r="J66" i="2" s="1"/>
  <c r="J67" i="2" s="1"/>
  <c r="J68" i="2" s="1"/>
  <c r="J69" i="2" s="1"/>
  <c r="J70" i="2" s="1"/>
  <c r="J71" i="2" s="1"/>
  <c r="J72" i="2" s="1"/>
  <c r="J73" i="2" s="1"/>
  <c r="H45" i="20"/>
  <c r="G45" i="20"/>
  <c r="G57" i="20" s="1"/>
  <c r="G63" i="20" s="1"/>
  <c r="E45" i="20"/>
  <c r="E57" i="20" s="1"/>
  <c r="E63" i="20" s="1"/>
  <c r="H33" i="20"/>
  <c r="G33" i="20"/>
  <c r="E33" i="20"/>
  <c r="H25" i="20"/>
  <c r="G25" i="20"/>
  <c r="E25" i="20"/>
  <c r="H20" i="20"/>
  <c r="G20" i="20"/>
  <c r="E20" i="20"/>
  <c r="H14" i="20"/>
  <c r="G14" i="20"/>
  <c r="E14" i="20"/>
  <c r="L56" i="16"/>
  <c r="K35" i="16"/>
  <c r="J35" i="16"/>
  <c r="J51" i="16"/>
  <c r="J54" i="16" s="1"/>
  <c r="K51" i="16"/>
  <c r="K54" i="16" s="1"/>
  <c r="K18" i="16"/>
  <c r="J18" i="16"/>
  <c r="E51" i="16"/>
  <c r="F51" i="16"/>
  <c r="G51" i="16"/>
  <c r="H51" i="16"/>
  <c r="I51" i="16"/>
  <c r="O51" i="16"/>
  <c r="O54" i="16" s="1"/>
  <c r="Q51" i="16"/>
  <c r="Q54" i="16" s="1"/>
  <c r="S51" i="16"/>
  <c r="S54" i="16" s="1"/>
  <c r="U51" i="16"/>
  <c r="U54" i="16" s="1"/>
  <c r="X51" i="16"/>
  <c r="X54" i="16" s="1"/>
  <c r="Y51" i="16"/>
  <c r="Y54" i="16" s="1"/>
  <c r="Z51" i="16"/>
  <c r="Z54" i="16" s="1"/>
  <c r="AA51" i="16"/>
  <c r="AA54" i="16" s="1"/>
  <c r="AB51" i="16"/>
  <c r="AB54" i="16" s="1"/>
  <c r="AC51" i="16"/>
  <c r="AC54" i="16" s="1"/>
  <c r="AE51" i="16"/>
  <c r="AE54" i="16" s="1"/>
  <c r="AG51" i="16"/>
  <c r="AG54" i="16" s="1"/>
  <c r="AI51" i="16"/>
  <c r="AI54" i="16" s="1"/>
  <c r="AJ51" i="16"/>
  <c r="AJ54" i="16" s="1"/>
  <c r="AX51" i="16"/>
  <c r="AX54" i="16" s="1"/>
  <c r="AY51" i="16"/>
  <c r="AY54" i="16" s="1"/>
  <c r="AZ51" i="16"/>
  <c r="AZ54" i="16" s="1"/>
  <c r="BA51" i="16"/>
  <c r="BA54" i="16" s="1"/>
  <c r="BB51" i="16"/>
  <c r="BB54" i="16" s="1"/>
  <c r="BC51" i="16"/>
  <c r="BC54" i="16" s="1"/>
  <c r="BE51" i="16"/>
  <c r="BE54" i="16" s="1"/>
  <c r="BF51" i="16"/>
  <c r="BF54" i="16" s="1"/>
  <c r="BG51" i="16"/>
  <c r="BG54" i="16" s="1"/>
  <c r="BH51" i="16"/>
  <c r="BI51" i="16"/>
  <c r="BJ51" i="16"/>
  <c r="L51" i="16"/>
  <c r="L54" i="16" s="1"/>
  <c r="G52" i="18"/>
  <c r="G51" i="18"/>
  <c r="G50" i="18"/>
  <c r="G49" i="18"/>
  <c r="G48" i="18"/>
  <c r="G47" i="18"/>
  <c r="G46" i="18"/>
  <c r="G45" i="18"/>
  <c r="G44" i="18"/>
  <c r="G43" i="18"/>
  <c r="G42" i="18"/>
  <c r="G41" i="18"/>
  <c r="G40" i="18"/>
  <c r="G39" i="18"/>
  <c r="G38" i="18"/>
  <c r="G37" i="18"/>
  <c r="G36" i="18"/>
  <c r="G35" i="18"/>
  <c r="G34" i="18"/>
  <c r="G33" i="18"/>
  <c r="G32" i="18"/>
  <c r="G31" i="18"/>
  <c r="J22" i="2"/>
  <c r="J23" i="2"/>
  <c r="J24" i="2"/>
  <c r="J25" i="2"/>
  <c r="J26" i="2"/>
  <c r="J27" i="2"/>
  <c r="J28" i="2"/>
  <c r="J29" i="2"/>
  <c r="J30" i="2"/>
  <c r="F45" i="20"/>
  <c r="G35" i="20" l="1"/>
  <c r="H35" i="20"/>
  <c r="E35" i="20"/>
  <c r="K36" i="16"/>
  <c r="K55" i="16" s="1"/>
  <c r="F57" i="20"/>
  <c r="F63" i="20" s="1"/>
  <c r="H57" i="20"/>
  <c r="H63" i="20" s="1"/>
  <c r="M36" i="16"/>
  <c r="M55" i="16" s="1"/>
  <c r="M57" i="16" s="1"/>
  <c r="O56" i="16" s="1"/>
  <c r="J36" i="16"/>
  <c r="J55" i="16" s="1"/>
  <c r="J57" i="16" s="1"/>
  <c r="K56" i="16" s="1"/>
  <c r="P55" i="16"/>
  <c r="P57" i="16" s="1"/>
  <c r="F33" i="20"/>
  <c r="F14" i="20"/>
  <c r="F20" i="20"/>
  <c r="F25" i="20"/>
  <c r="K6" i="14"/>
  <c r="K7" i="14"/>
  <c r="K9" i="14"/>
  <c r="K14" i="14"/>
  <c r="K15" i="14"/>
  <c r="H15" i="14"/>
  <c r="H14" i="14"/>
  <c r="H13" i="14"/>
  <c r="K13" i="14" s="1"/>
  <c r="H12" i="14"/>
  <c r="K12" i="14" s="1"/>
  <c r="H11" i="14"/>
  <c r="K11" i="14" s="1"/>
  <c r="H10" i="14"/>
  <c r="K10" i="14" s="1"/>
  <c r="H9" i="14"/>
  <c r="H8" i="14"/>
  <c r="H16" i="14" s="1"/>
  <c r="K16" i="14" s="1"/>
  <c r="H7" i="14"/>
  <c r="H6" i="14"/>
  <c r="H5" i="14"/>
  <c r="K5" i="14" s="1"/>
  <c r="H4" i="14"/>
  <c r="K4" i="14" s="1"/>
  <c r="H3" i="14"/>
  <c r="K3" i="14" s="1"/>
  <c r="H2" i="14"/>
  <c r="K2" i="14" s="1"/>
  <c r="H53" i="16"/>
  <c r="H54" i="16" s="1"/>
  <c r="E35" i="16"/>
  <c r="I54" i="16"/>
  <c r="G54" i="16"/>
  <c r="F54" i="16"/>
  <c r="E54" i="16"/>
  <c r="F35" i="16"/>
  <c r="G35" i="16"/>
  <c r="L18" i="16"/>
  <c r="X18" i="16"/>
  <c r="Y18" i="16"/>
  <c r="Z18" i="16"/>
  <c r="AA18" i="16"/>
  <c r="AB18" i="16"/>
  <c r="AC18" i="16"/>
  <c r="AE18" i="16"/>
  <c r="AG18" i="16"/>
  <c r="AI18" i="16"/>
  <c r="L27" i="14" s="1"/>
  <c r="AJ18" i="16"/>
  <c r="AX18" i="16"/>
  <c r="AY18" i="16"/>
  <c r="AZ18" i="16"/>
  <c r="BA18" i="16"/>
  <c r="BB18" i="16"/>
  <c r="BC18" i="16"/>
  <c r="BD18" i="16"/>
  <c r="BE18" i="16"/>
  <c r="BF18" i="16"/>
  <c r="BG18" i="16"/>
  <c r="BH18" i="16"/>
  <c r="BI18" i="16"/>
  <c r="BJ18" i="16"/>
  <c r="E18" i="16"/>
  <c r="F18" i="16"/>
  <c r="G18" i="16"/>
  <c r="H18" i="16"/>
  <c r="I18" i="16"/>
  <c r="I6" i="16"/>
  <c r="I5" i="16"/>
  <c r="I4" i="16"/>
  <c r="K8" i="14" l="1"/>
  <c r="L34" i="14"/>
  <c r="L35" i="14"/>
  <c r="L36" i="14"/>
  <c r="L38" i="14"/>
  <c r="L31" i="14"/>
  <c r="L29" i="14"/>
  <c r="L28" i="14"/>
  <c r="L33" i="14"/>
  <c r="L30" i="14"/>
  <c r="L32" i="14"/>
  <c r="I7" i="16"/>
  <c r="F35" i="20"/>
  <c r="G36" i="16"/>
  <c r="G55" i="16" s="1"/>
  <c r="E36" i="16"/>
  <c r="F36" i="16"/>
  <c r="F55" i="16" s="1"/>
  <c r="I7" i="12"/>
  <c r="I5" i="12"/>
  <c r="I8" i="12"/>
  <c r="I6" i="12"/>
  <c r="I4" i="12"/>
  <c r="I8" i="10"/>
  <c r="I7" i="10"/>
  <c r="I6" i="10"/>
  <c r="E55" i="16" l="1"/>
  <c r="E57" i="16" s="1"/>
  <c r="F56" i="16" s="1"/>
  <c r="F57" i="16" s="1"/>
  <c r="G56" i="16" s="1"/>
  <c r="G57" i="16" s="1"/>
  <c r="H56" i="16" s="1"/>
  <c r="H57" i="16" s="1"/>
  <c r="I5" i="10"/>
  <c r="I2" i="10"/>
  <c r="J2" i="2"/>
  <c r="J3" i="2" s="1"/>
  <c r="J4" i="2" s="1"/>
  <c r="J5" i="2" s="1"/>
  <c r="J6" i="2" s="1"/>
  <c r="J7" i="2" s="1"/>
  <c r="J8" i="2" s="1"/>
  <c r="J9" i="2" s="1"/>
  <c r="J10" i="2" s="1"/>
  <c r="J11" i="2" s="1"/>
  <c r="J12" i="2" s="1"/>
  <c r="J13" i="2" s="1"/>
  <c r="J14" i="2" s="1"/>
  <c r="J15" i="2" s="1"/>
  <c r="J16" i="2" s="1"/>
  <c r="J17" i="2" s="1"/>
  <c r="J18" i="2" s="1"/>
  <c r="J19" i="2" s="1"/>
  <c r="J20" i="2" s="1"/>
  <c r="J21" i="2" s="1"/>
  <c r="I56" i="16" l="1"/>
  <c r="BJ35" i="16"/>
  <c r="BJ36" i="16" s="1"/>
  <c r="H35" i="16" l="1"/>
  <c r="H36" i="16" s="1"/>
  <c r="I35" i="16"/>
  <c r="L35" i="16"/>
  <c r="O35" i="16"/>
  <c r="O36" i="16" s="1"/>
  <c r="Q35" i="16"/>
  <c r="S35" i="16"/>
  <c r="S36" i="16" s="1"/>
  <c r="S55" i="16" s="1"/>
  <c r="U35" i="16"/>
  <c r="X35" i="16"/>
  <c r="X36" i="16" s="1"/>
  <c r="X55" i="16" s="1"/>
  <c r="Y35" i="16"/>
  <c r="Z35" i="16"/>
  <c r="AA35" i="16"/>
  <c r="AA36" i="16" s="1"/>
  <c r="AA55" i="16" s="1"/>
  <c r="AA57" i="16" s="1"/>
  <c r="AB56" i="16" s="1"/>
  <c r="AB35" i="16"/>
  <c r="AB36" i="16" s="1"/>
  <c r="AB55" i="16" s="1"/>
  <c r="AC35" i="16"/>
  <c r="AC36" i="16" s="1"/>
  <c r="AC55" i="16" s="1"/>
  <c r="AE35" i="16"/>
  <c r="AG35" i="16"/>
  <c r="AI36" i="16"/>
  <c r="AI55" i="16" s="1"/>
  <c r="AI57" i="16" s="1"/>
  <c r="AJ35" i="16"/>
  <c r="AX35" i="16"/>
  <c r="AY35" i="16"/>
  <c r="AY36" i="16" s="1"/>
  <c r="AY55" i="16" s="1"/>
  <c r="AY57" i="16" s="1"/>
  <c r="AZ35" i="16"/>
  <c r="BA35" i="16"/>
  <c r="BA36" i="16" s="1"/>
  <c r="BA55" i="16" s="1"/>
  <c r="BB35" i="16"/>
  <c r="BC35" i="16"/>
  <c r="BC36" i="16" s="1"/>
  <c r="BD35" i="16"/>
  <c r="BD36" i="16" s="1"/>
  <c r="BD55" i="16" s="1"/>
  <c r="BE35" i="16"/>
  <c r="BF35" i="16"/>
  <c r="BG35" i="16"/>
  <c r="BG36" i="16" s="1"/>
  <c r="BG55" i="16" s="1"/>
  <c r="BH35" i="16"/>
  <c r="BH36" i="16" s="1"/>
  <c r="BI35" i="16"/>
  <c r="AB57" i="16" l="1"/>
  <c r="AC56" i="16" s="1"/>
  <c r="O55" i="16"/>
  <c r="O57" i="16" s="1"/>
  <c r="Q56" i="16" s="1"/>
  <c r="BC55" i="16"/>
  <c r="BE36" i="16"/>
  <c r="BE55" i="16" s="1"/>
  <c r="AJ36" i="16"/>
  <c r="AJ55" i="16" s="1"/>
  <c r="AJ57" i="16" s="1"/>
  <c r="Y36" i="16"/>
  <c r="Y55" i="16" s="1"/>
  <c r="I36" i="16"/>
  <c r="BB36" i="16"/>
  <c r="BB55" i="16" s="1"/>
  <c r="AE36" i="16"/>
  <c r="AE55" i="16" s="1"/>
  <c r="AE57" i="16" s="1"/>
  <c r="U36" i="16"/>
  <c r="AZ36" i="16"/>
  <c r="AZ55" i="16" s="1"/>
  <c r="AZ57" i="16" s="1"/>
  <c r="BA56" i="16" s="1"/>
  <c r="BA57" i="16" s="1"/>
  <c r="BB56" i="16" s="1"/>
  <c r="Q36" i="16"/>
  <c r="AG36" i="16"/>
  <c r="AG55" i="16" s="1"/>
  <c r="AG57" i="16" s="1"/>
  <c r="BF36" i="16"/>
  <c r="BF55" i="16" s="1"/>
  <c r="AX36" i="16"/>
  <c r="AX55" i="16" s="1"/>
  <c r="AX57" i="16" s="1"/>
  <c r="Z36" i="16"/>
  <c r="Z55" i="16" s="1"/>
  <c r="L36" i="16"/>
  <c r="L55" i="16" s="1"/>
  <c r="BI36" i="16"/>
  <c r="BB57" i="16" l="1"/>
  <c r="BC56" i="16" s="1"/>
  <c r="BC57" i="16"/>
  <c r="BD57" i="16" s="1"/>
  <c r="BE56" i="16" s="1"/>
  <c r="BE57" i="16" s="1"/>
  <c r="BF56" i="16" s="1"/>
  <c r="BF57" i="16" s="1"/>
  <c r="BG56" i="16" s="1"/>
  <c r="BG57" i="16" s="1"/>
  <c r="I55" i="16"/>
  <c r="I57" i="16" s="1"/>
  <c r="Q55" i="16"/>
  <c r="Q57" i="16" s="1"/>
  <c r="S56" i="16" s="1"/>
  <c r="S57" i="16" s="1"/>
  <c r="U56" i="16" s="1"/>
  <c r="U57" i="16" s="1"/>
  <c r="L57" i="16"/>
</calcChain>
</file>

<file path=xl/sharedStrings.xml><?xml version="1.0" encoding="utf-8"?>
<sst xmlns="http://schemas.openxmlformats.org/spreadsheetml/2006/main" count="12951" uniqueCount="784">
  <si>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</si>
  <si>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</si>
  <si>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</si>
  <si>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</si>
  <si>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</si>
  <si>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</si>
  <si>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</si>
  <si>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</si>
  <si>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</si>
  <si>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</si>
  <si>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</si>
  <si>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</si>
  <si>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</si>
  <si>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</si>
  <si>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</si>
  <si>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</si>
  <si>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</si>
  <si>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</si>
  <si>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</si>
  <si>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</si>
  <si>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</si>
  <si>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</si>
  <si>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</si>
  <si>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</si>
  <si>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</si>
  <si>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</si>
  <si>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</si>
  <si>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</si>
  <si>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</si>
  <si>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</si>
  <si>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</si>
  <si>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</si>
  <si>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</si>
  <si>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</si>
  <si>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</si>
  <si>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</si>
  <si>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</si>
  <si>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</si>
  <si>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y1991</t>
  </si>
  <si>
    <t>y1992</t>
  </si>
  <si>
    <t>y1993</t>
  </si>
  <si>
    <t>y1994</t>
  </si>
  <si>
    <t>y1995</t>
  </si>
  <si>
    <t>y1996</t>
  </si>
  <si>
    <t>y1998</t>
  </si>
  <si>
    <t>y1999</t>
  </si>
  <si>
    <t>y2000</t>
  </si>
  <si>
    <t>y2001</t>
  </si>
  <si>
    <t>y2004</t>
  </si>
  <si>
    <t>y2006</t>
  </si>
  <si>
    <t>y2007</t>
  </si>
  <si>
    <t>y2009</t>
  </si>
  <si>
    <t>y2011</t>
  </si>
  <si>
    <t>y2012</t>
  </si>
  <si>
    <t>y2013</t>
  </si>
  <si>
    <t>y2014</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</si>
  <si>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</si>
  <si>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</si>
  <si>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</si>
  <si>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</si>
  <si>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</si>
  <si>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</si>
  <si>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</si>
  <si>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</si>
  <si>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</si>
  <si>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</si>
  <si>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</si>
  <si>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</si>
  <si>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</si>
  <si>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</si>
  <si>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</si>
  <si>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</si>
  <si>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</si>
  <si>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</si>
  <si>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</si>
  <si>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</si>
  <si>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</si>
  <si>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</si>
  <si>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</si>
  <si>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</si>
  <si>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</si>
  <si>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</si>
  <si>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</si>
  <si>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</si>
  <si>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</si>
  <si>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</si>
  <si>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</si>
  <si>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</si>
  <si>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</si>
  <si>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</si>
  <si>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</si>
  <si>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</si>
  <si>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</si>
  <si>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</si>
  <si>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</si>
  <si>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</si>
  <si>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</si>
  <si>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</si>
  <si>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</si>
  <si>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</si>
  <si>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</si>
  <si>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</si>
  <si>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</si>
  <si>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</si>
  <si>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</si>
  <si>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</si>
  <si>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</si>
  <si>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</si>
  <si>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</si>
  <si>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</si>
  <si>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</si>
  <si>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</si>
  <si>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</si>
  <si>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</si>
  <si>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</si>
  <si>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</si>
  <si>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</si>
  <si>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</si>
  <si>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</si>
  <si>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</si>
  <si>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</si>
  <si>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</si>
  <si>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</si>
  <si>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</si>
  <si>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</si>
  <si>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</si>
  <si>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</si>
  <si>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</si>
  <si>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</si>
  <si>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</si>
  <si>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</si>
  <si>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</si>
  <si>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</si>
  <si>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</si>
  <si>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</si>
  <si>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</si>
  <si>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</si>
  <si>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</si>
  <si>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</si>
  <si>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</si>
  <si>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</si>
  <si>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</si>
  <si>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</si>
  <si>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</si>
  <si>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</si>
  <si>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</si>
  <si>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</si>
  <si>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</si>
  <si>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</si>
  <si>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</si>
  <si>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</si>
  <si>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</si>
  <si>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</si>
  <si>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</si>
  <si>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</si>
  <si>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</si>
  <si>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</si>
  <si>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</si>
  <si>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</si>
  <si>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</si>
  <si>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</si>
  <si>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</si>
  <si>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</si>
  <si>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</si>
  <si>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</si>
  <si>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</si>
  <si>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</si>
  <si>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SKIP FOR NOW</t>
  </si>
  <si>
    <t>included</t>
  </si>
  <si>
    <t>inclUnit</t>
  </si>
  <si>
    <t>PA1460037</t>
  </si>
  <si>
    <t>Pottstown</t>
  </si>
  <si>
    <t>Pottstown Borough Authority</t>
  </si>
  <si>
    <t>Water</t>
  </si>
  <si>
    <t>A</t>
  </si>
  <si>
    <t>Semi-Annual</t>
  </si>
  <si>
    <t>NA</t>
  </si>
  <si>
    <t>Maturity Schedule</t>
  </si>
  <si>
    <t>Mandatory Redemption</t>
  </si>
  <si>
    <t>August</t>
  </si>
  <si>
    <t>Donald Bliem</t>
  </si>
  <si>
    <t>Elmer Panoc</t>
  </si>
  <si>
    <t>Nicholas Palladino</t>
  </si>
  <si>
    <t>William McCabe</t>
  </si>
  <si>
    <t>Thomas Foley Jr.</t>
  </si>
  <si>
    <t>Chairman</t>
  </si>
  <si>
    <t>Vice Chairman</t>
  </si>
  <si>
    <t>Secretary</t>
  </si>
  <si>
    <t>Treasurer</t>
  </si>
  <si>
    <t>Assistant Secretary / Treasurer</t>
  </si>
  <si>
    <t>Authority</t>
  </si>
  <si>
    <t>Thomas Harwood Jr.</t>
  </si>
  <si>
    <t>Extended in 1988 for another 40 years to 2038</t>
  </si>
  <si>
    <t>Equal to Maximum Annual Debt Service</t>
  </si>
  <si>
    <t>Bond</t>
  </si>
  <si>
    <t>Escrow account deposit - 1963 bonds</t>
  </si>
  <si>
    <t>Reimburse Borough for 1987 Project Note Payment</t>
  </si>
  <si>
    <t>Debt Service Reserve Fund</t>
  </si>
  <si>
    <t>Water System Improvements</t>
  </si>
  <si>
    <t>Deposit to Bond Redemption and Improvement Fund</t>
  </si>
  <si>
    <t>Cost of issuance</t>
  </si>
  <si>
    <t>The authority leased the water system to the Borough and the Borough operated and maintained the water system.</t>
  </si>
  <si>
    <t>Official Statement 1990</t>
  </si>
  <si>
    <t>The water system in Pottstown started in a construction program in 1869 by the Pottstown Gas and Water Company.</t>
  </si>
  <si>
    <t>Borough</t>
  </si>
  <si>
    <t>West Pottsgrove Township</t>
  </si>
  <si>
    <t>West Pottsgrove</t>
  </si>
  <si>
    <t>Township</t>
  </si>
  <si>
    <t>Stowe, a portion of West Pottsgrove</t>
  </si>
  <si>
    <t>North Coventry</t>
  </si>
  <si>
    <t>South Pottstown, a portion of North Coventry</t>
  </si>
  <si>
    <t>Lower Pottsgrove</t>
  </si>
  <si>
    <t>a portion</t>
  </si>
  <si>
    <t>Montgomery</t>
  </si>
  <si>
    <t>Customer</t>
  </si>
  <si>
    <t>Residential</t>
  </si>
  <si>
    <t>Location</t>
  </si>
  <si>
    <t>Inside Borough</t>
  </si>
  <si>
    <t>Outside Borough</t>
  </si>
  <si>
    <t>Total</t>
  </si>
  <si>
    <t>Accounts for 59 percent of total system revenues</t>
  </si>
  <si>
    <t>Capacity</t>
  </si>
  <si>
    <t>Treated Water</t>
  </si>
  <si>
    <t>Entire</t>
  </si>
  <si>
    <t>Metered Consumption</t>
  </si>
  <si>
    <t>Commercial</t>
  </si>
  <si>
    <t>Accounts for 26 percent of total system revenues</t>
  </si>
  <si>
    <t>Accounts for 12 percent of total system revenues</t>
  </si>
  <si>
    <t>Industrial</t>
  </si>
  <si>
    <t>Public</t>
  </si>
  <si>
    <t>Accounts for remaining revenues</t>
  </si>
  <si>
    <t>converted from CCF; 1 CCF = 748.05 gal</t>
  </si>
  <si>
    <t>surface</t>
  </si>
  <si>
    <t>Shuylkill River</t>
  </si>
  <si>
    <t>Only supply source</t>
  </si>
  <si>
    <t>Yes - PUC</t>
  </si>
  <si>
    <t>None</t>
  </si>
  <si>
    <t>Provides a hisotry of rate increases approved by the PUC. They have increased rates by 15% in 1975; request 25% in 1978 but approved at 4.8%, requested and approved 23.7% increase in 1980; requested a 35% rate increase in 1985 and was granted a 22% increase; and anticpates increasing rates by 15-17% each year for next three years</t>
  </si>
  <si>
    <t>Upper Pottsgrove Township</t>
  </si>
  <si>
    <t>Pottstown Borough</t>
  </si>
  <si>
    <t>Lower Pottsgrove Township</t>
  </si>
  <si>
    <t>North Coventry Township</t>
  </si>
  <si>
    <t>East Coventry Township</t>
  </si>
  <si>
    <t>Douglass Township</t>
  </si>
  <si>
    <t>Quarterly</t>
  </si>
  <si>
    <t>Flat Charge</t>
  </si>
  <si>
    <t>Meter Size</t>
  </si>
  <si>
    <t>inches</t>
  </si>
  <si>
    <t>CCF</t>
  </si>
  <si>
    <t>flat fee</t>
  </si>
  <si>
    <t>Consumption Charge</t>
  </si>
  <si>
    <t>Per 100 CF Per Quaeter</t>
  </si>
  <si>
    <t>ccf</t>
  </si>
  <si>
    <t>over 35,000</t>
  </si>
  <si>
    <t>per 100 ccf per quarter</t>
  </si>
  <si>
    <t>Annual</t>
  </si>
  <si>
    <t>Fire Hydrant</t>
  </si>
  <si>
    <t>Private</t>
  </si>
  <si>
    <t>hydrant</t>
  </si>
  <si>
    <t>per hydrant</t>
  </si>
  <si>
    <t>Sprinkler System</t>
  </si>
  <si>
    <t>Line Size</t>
  </si>
  <si>
    <t>per sprinkler system</t>
  </si>
  <si>
    <t>Connection Fee</t>
  </si>
  <si>
    <t>Per Connection</t>
  </si>
  <si>
    <t>per connection</t>
  </si>
  <si>
    <t>Metered Sales</t>
  </si>
  <si>
    <t>Unmetered Sales</t>
  </si>
  <si>
    <t>House Rent</t>
  </si>
  <si>
    <t>Construction</t>
  </si>
  <si>
    <t>Penalties</t>
  </si>
  <si>
    <t>Misc. Sales</t>
  </si>
  <si>
    <t>Purification</t>
  </si>
  <si>
    <t>Pumping</t>
  </si>
  <si>
    <t>Distribution</t>
  </si>
  <si>
    <t>Administration</t>
  </si>
  <si>
    <t>Capital Expenditures</t>
  </si>
  <si>
    <t>Lease Rental</t>
  </si>
  <si>
    <t>Accrued Interest</t>
  </si>
  <si>
    <t>Refunds on Expenses</t>
  </si>
  <si>
    <t>Adjustment</t>
  </si>
  <si>
    <t>Sewer</t>
  </si>
  <si>
    <t>Plans to upgrade system to 15.6 MGD</t>
  </si>
  <si>
    <t>Estimated by BCM Engineers in 1989</t>
  </si>
  <si>
    <t>Never</t>
  </si>
  <si>
    <t>Baa-1</t>
  </si>
  <si>
    <t>Limited</t>
  </si>
  <si>
    <t>No</t>
  </si>
  <si>
    <t>Decrease in pouplation from 1970 to 1980 was the result of two major industrial employers leaving (Bethlehem Steel and Firestone). US Highway 422 has brought residentail growth from suburban Philadelphia areas and King of Prussia is a short commute.</t>
  </si>
  <si>
    <t>Explains relationship between Pottstown Borough Authority and the Water System. The Authority owns thew ater system and leases the system to the Borough. The lease rental is used by the Authority to pay the interest and principal on debt.</t>
  </si>
  <si>
    <t>Project Notes</t>
  </si>
  <si>
    <t>Notes</t>
  </si>
  <si>
    <t>Mayer Pollock</t>
  </si>
  <si>
    <t>Neapco Products</t>
  </si>
  <si>
    <t>Chop-Rite</t>
  </si>
  <si>
    <t>Manufacturing</t>
  </si>
  <si>
    <t>Great M. Knitting</t>
  </si>
  <si>
    <t>Mrs. Smith's Pie Co.</t>
  </si>
  <si>
    <t>Food Processing</t>
  </si>
  <si>
    <t>Gudebrod Bros</t>
  </si>
  <si>
    <t>A &amp; L Handle Co.</t>
  </si>
  <si>
    <t>Video Tech</t>
  </si>
  <si>
    <t>Stanley G. Flagg</t>
  </si>
  <si>
    <t>Hammond Lead Products</t>
  </si>
  <si>
    <t>Occidental Chemical</t>
  </si>
  <si>
    <t>Dochler-Jarvis Div.</t>
  </si>
  <si>
    <t>Inside Borough; convert ccf to gal</t>
  </si>
  <si>
    <t>Outside Borough; convert ccf to gal</t>
  </si>
  <si>
    <t>Spicer</t>
  </si>
  <si>
    <t>Textile</t>
  </si>
  <si>
    <t>Pottstown Plating</t>
  </si>
  <si>
    <t>In 2018 - Pottstown Borough Council agreed to waive about $221,000 in back taxes and unpaid water and sewer fees in hope of redeveloping a property that has been vacant for more than a decade.</t>
  </si>
  <si>
    <t>Technology</t>
  </si>
  <si>
    <t>Oil and Gas</t>
  </si>
  <si>
    <t>EPA settlement in 2017 for superfund site</t>
  </si>
  <si>
    <t>Gallons estimated from metered use</t>
  </si>
  <si>
    <t>Cash &amp; Short Term Investments</t>
  </si>
  <si>
    <t>Water Rentals Receivable</t>
  </si>
  <si>
    <t>Prepaid Expenses</t>
  </si>
  <si>
    <t>Plant/Equipment</t>
  </si>
  <si>
    <t>Accrued Expenses</t>
  </si>
  <si>
    <t>Accounts Payable</t>
  </si>
  <si>
    <t>Accrued rent paid to Pottstown Borough Sewer Authority</t>
  </si>
  <si>
    <t>They pay $358,800 each year through 2001 as part of a 37 year lease from 1963.</t>
  </si>
  <si>
    <t>METHOD - GINI COEFFICIENT? FIND PAPER LIU 2019 SPATIAL PATTERN ANALYSIS OF REGIONAL WATER USE PROFILE… BUT USE CUSTOMERS AND USAGE.</t>
  </si>
  <si>
    <t>Guaranteed by the Borough of Pottstown</t>
  </si>
  <si>
    <t>Aaa</t>
  </si>
  <si>
    <t>AAA</t>
  </si>
  <si>
    <t>Financial Guaranty Insurance Company</t>
  </si>
  <si>
    <t>A-Water</t>
  </si>
  <si>
    <t>November</t>
  </si>
  <si>
    <t>December</t>
  </si>
  <si>
    <t>Official Statement 1991 Sewer</t>
  </si>
  <si>
    <t>Bonds are issued pursuant to a Trust Indenture dated in 1989.</t>
  </si>
  <si>
    <t>Guaranteed Sewer Revenue Bonds, Series of 1989</t>
  </si>
  <si>
    <t>Water Revenue Bonds, Series of 1990</t>
  </si>
  <si>
    <t>Purchase SLGS for 1989 Bonds Debt Service</t>
  </si>
  <si>
    <t>Financing Costs</t>
  </si>
  <si>
    <t>The sewer system is old and incapable of handling peak flow. PADEP ordered them to close its overflow points, which will add significant flows to the treatment plant. Townships around Borough are anticipated to have significant growth in next 20 years.</t>
  </si>
  <si>
    <t>The Sewer was leased to the Authority in 1989 and extends to 2021</t>
  </si>
  <si>
    <t>The Authority will receive ~$500,000 annually in state aid based on Act No 339 of 1965 to help with WWTP.</t>
  </si>
  <si>
    <t xml:space="preserve">Termos of contratc is greater than the terms of the bond. Sets up financial relationship and responsibilities. </t>
  </si>
  <si>
    <t>Prior Period Adjustment</t>
  </si>
  <si>
    <t>Grants</t>
  </si>
  <si>
    <t>Interest Revenue</t>
  </si>
  <si>
    <t>Interest Expense</t>
  </si>
  <si>
    <t>General Government</t>
  </si>
  <si>
    <t>Health &amp; Sanitation</t>
  </si>
  <si>
    <t>Capital Outlay</t>
  </si>
  <si>
    <t>Miscellaenous</t>
  </si>
  <si>
    <t>Debt Service - Rental to Pottstown Sewer Authority</t>
  </si>
  <si>
    <t>Sewer Rentals Receivable</t>
  </si>
  <si>
    <t>add w for water and s for sewer</t>
  </si>
  <si>
    <t>y1985w</t>
  </si>
  <si>
    <t>y1986w</t>
  </si>
  <si>
    <t>y1987w</t>
  </si>
  <si>
    <t>y1988w</t>
  </si>
  <si>
    <t>y1989w</t>
  </si>
  <si>
    <t>y1988s</t>
  </si>
  <si>
    <t>y1989s</t>
  </si>
  <si>
    <t>y1990s</t>
  </si>
  <si>
    <t>Due from Authority</t>
  </si>
  <si>
    <t>Due to Townships</t>
  </si>
  <si>
    <t>Equal to Maximum Annual Debt Service of 1989 Guaranteed Sewer Revenue Bonds</t>
  </si>
  <si>
    <t>Pottstown was the second borough created in Montgomery County in 1815</t>
  </si>
  <si>
    <t>Pottstown is expected to take out some bonds but that is not anticipated to impact their rental obligations due the Authority and they have never defaulted.</t>
  </si>
  <si>
    <t>They have the borrowing capacity of Pottstown</t>
  </si>
  <si>
    <t>They divy the costs for sewer upgrades between the four municipalities.</t>
  </si>
  <si>
    <t>AMBAC</t>
  </si>
  <si>
    <t>Escrow account deposit - 1990 bonds</t>
  </si>
  <si>
    <t>Retire 1993 Notes and accrued interest</t>
  </si>
  <si>
    <t>Maintenance Reserve Fund</t>
  </si>
  <si>
    <t>Deposit to Debt Service Fund</t>
  </si>
  <si>
    <t>Barry Robertson</t>
  </si>
  <si>
    <t>Robert Jones</t>
  </si>
  <si>
    <t>Paid off in 1990 Bonds</t>
  </si>
  <si>
    <t>Water Revenue Bonds, Series of 1963</t>
  </si>
  <si>
    <t>Water Project Notes</t>
  </si>
  <si>
    <t>Auhotirty issued notes to provide funds for water system improvements.</t>
  </si>
  <si>
    <t>Guaranteed Sewer Revenue Bonds, Series of 1991</t>
  </si>
  <si>
    <t>Taxable Guaranteed Subordinate Sewer Revenue Bonds, Series of 1994</t>
  </si>
  <si>
    <t>Providing working capital</t>
  </si>
  <si>
    <t>Upper Pottsgrove</t>
  </si>
  <si>
    <t>Accounts for 63 percent of total system revenues</t>
  </si>
  <si>
    <t>Accounts for 20 percent of total system revenues</t>
  </si>
  <si>
    <t>Accounts for 13 percent of total system revenues</t>
  </si>
  <si>
    <t>Accounts for 4% of revenue</t>
  </si>
  <si>
    <t>River</t>
  </si>
  <si>
    <t>Only supply source; Plans to modify WTP with money from this bond</t>
  </si>
  <si>
    <t>y1990w</t>
  </si>
  <si>
    <t>y1991w</t>
  </si>
  <si>
    <t>y1992w</t>
  </si>
  <si>
    <t>y1993w</t>
  </si>
  <si>
    <t>y1994w</t>
  </si>
  <si>
    <t>Depreciation</t>
  </si>
  <si>
    <t>Debt Service Lease Payments</t>
  </si>
  <si>
    <t>Transfer to General Fund</t>
  </si>
  <si>
    <t>Transfer</t>
  </si>
  <si>
    <t>All water rates are anticipated to increase by 5% each year from 1996 to 1998. They don't mention if need PUC approval.</t>
  </si>
  <si>
    <t>Bond anticipation Note</t>
  </si>
  <si>
    <t>Nicholas Hiriak</t>
  </si>
  <si>
    <t>Member</t>
  </si>
  <si>
    <t>Escrow account deposit - 1989 Bonds</t>
  </si>
  <si>
    <t>Despot funds to redeem 1995 Notes</t>
  </si>
  <si>
    <t>Deposit funds to redeem PennVest Note</t>
  </si>
  <si>
    <t>Official Statement 1995 Water</t>
  </si>
  <si>
    <t>The Borough was in major violation of EPA CWA since 1992. As a result of that effort they are implementing a $4M construction program to address problems and are trying to obtain a revised PADEP/NPDES Permit.</t>
  </si>
  <si>
    <t>Negotiated a Proposed Consent Order and agreement with PADEP that does not include a payment of fines. And Negotiating a Consent Decree with EPA.</t>
  </si>
  <si>
    <t>Official Statement 1996 Sewer</t>
  </si>
  <si>
    <t>In 1992 they institute a 50% rate increase in consumption charges. Despite rate increases, revenues were less than expected because of slow economy and amended relationships between the Borough and Townships.</t>
  </si>
  <si>
    <t>In 1993 they implemented a 25% rate increase in consumptive charges; Then a 120% increase in annual charges. No mention of PUCS.</t>
  </si>
  <si>
    <t>Has info on debt capacity of Pottstown writ large</t>
  </si>
  <si>
    <t>Public Works</t>
  </si>
  <si>
    <t>y1991s</t>
  </si>
  <si>
    <t>y1992s</t>
  </si>
  <si>
    <t>y1993s</t>
  </si>
  <si>
    <t>y1994s</t>
  </si>
  <si>
    <t>y1995s</t>
  </si>
  <si>
    <t>Sewer only</t>
  </si>
  <si>
    <t>David Garner</t>
  </si>
  <si>
    <t>Vice Chairman / Secretary</t>
  </si>
  <si>
    <t>Water Revenue Bonds 1995</t>
  </si>
  <si>
    <t>Sewer Revenue Bonds 1996</t>
  </si>
  <si>
    <t>Official Statement 1998 Water</t>
  </si>
  <si>
    <t>There is no money moving between water and sewer revenues.</t>
  </si>
  <si>
    <t>Escrow account deposits - refunded bonds</t>
  </si>
  <si>
    <t>Water system was constructed in 1869 by Pottstown Gas and Water Company</t>
  </si>
  <si>
    <t>Accounts for 61 percent of total system revenues</t>
  </si>
  <si>
    <t>Accounts for 8% of total system revenues</t>
  </si>
  <si>
    <t>Borough receives a management fee of 100,000 or 6.4% of operating and debt service budget (greater)</t>
  </si>
  <si>
    <t>The Authoirty pays the Borough for management services while the Borough pays over to the Authority the Receipts and Revenues needed to meet debt service fund requirements. So I guess the Authority pays the Borough to operate the system, including financial components.</t>
  </si>
  <si>
    <t>Water Only</t>
  </si>
  <si>
    <t>List of funds they have - such as maintenance fund and water assessment fund</t>
  </si>
  <si>
    <t>Many systems make covenants to make all necessary and proper repairs, renewals, replacements, and improvements thereto, in order to maintain adequate services.</t>
  </si>
  <si>
    <t>The Carroll Township Authority and North and South Shenango Joint Municipal Authority both filed for bankruptcy (1990 and 1982 respectively).</t>
  </si>
  <si>
    <t>They still exist but are only a sewer authority</t>
  </si>
  <si>
    <t xml:space="preserve">The municipal Authorities Act of 1945 does not allow them </t>
  </si>
  <si>
    <t>y1996w</t>
  </si>
  <si>
    <t>y1997w</t>
  </si>
  <si>
    <t>Investment Earnings</t>
  </si>
  <si>
    <t>-</t>
  </si>
  <si>
    <t>y1995w</t>
  </si>
  <si>
    <t>y1997s</t>
  </si>
  <si>
    <t>Funds held by trustees</t>
  </si>
  <si>
    <t>Deferred Charges</t>
  </si>
  <si>
    <t>Deferred Defeasance</t>
  </si>
  <si>
    <t>Wages Payable</t>
  </si>
  <si>
    <t>Construction escrow payable</t>
  </si>
  <si>
    <t>Bonds payable</t>
  </si>
  <si>
    <t>Sewer Revenue Bonds 1991</t>
  </si>
  <si>
    <t>Sewer Revenue Bonds 1994</t>
  </si>
  <si>
    <t>Douglas Dilliplane</t>
  </si>
  <si>
    <t>David Sutton</t>
  </si>
  <si>
    <t>Jack Layne, Jr.</t>
  </si>
  <si>
    <t>Water Revenue Bonds 1998</t>
  </si>
  <si>
    <t>Water Revenue Bonds 2000</t>
  </si>
  <si>
    <t>Bond to Delaware Valley Regional Finance Authority to refund the Authority's 1995 bond.</t>
  </si>
  <si>
    <t>Depost for refunded bonds - 1998</t>
  </si>
  <si>
    <t>Accounts for 67 percent of total system revenues</t>
  </si>
  <si>
    <t>Accounts for 17 percent of total system revenues</t>
  </si>
  <si>
    <t>Accounts for 6% of total system revenues</t>
  </si>
  <si>
    <t>Estimate accounts for 10 percent of total system revenues</t>
  </si>
  <si>
    <t>Assumed same volume as 1995 OS</t>
  </si>
  <si>
    <t>Noth Coventry Township</t>
  </si>
  <si>
    <t>Regular</t>
  </si>
  <si>
    <t>Sell</t>
  </si>
  <si>
    <t>The Authority's distribution system in North Convetry Township was sold to the Township in 2002 and water is now sold to the Township on a bulk rate basis.</t>
  </si>
  <si>
    <t>y1999w</t>
  </si>
  <si>
    <t>y2000w</t>
  </si>
  <si>
    <t>y2001w</t>
  </si>
  <si>
    <t>y2002w</t>
  </si>
  <si>
    <t>Payments to Other Governments</t>
  </si>
  <si>
    <t>Gain on Sale of Assets</t>
  </si>
  <si>
    <t>Unrealized Losses</t>
  </si>
  <si>
    <t>Unrealized Gains</t>
  </si>
  <si>
    <t>y2002s</t>
  </si>
  <si>
    <t>Grants Receivable</t>
  </si>
  <si>
    <t>Deposits</t>
  </si>
  <si>
    <t>Due from Sewer Fund</t>
  </si>
  <si>
    <t>Due from Pottstown Borough</t>
  </si>
  <si>
    <t>Private School Financing Receivable</t>
  </si>
  <si>
    <t>Lease Rentals Receivable</t>
  </si>
  <si>
    <t>Current Portion Bonds Payable</t>
  </si>
  <si>
    <t>Other Liabilities</t>
  </si>
  <si>
    <t>Due to Water Fund</t>
  </si>
  <si>
    <t>Due to Pottstown Borough</t>
  </si>
  <si>
    <t>Bonds - private school financing</t>
  </si>
  <si>
    <t>Unrestricted</t>
  </si>
  <si>
    <t>Restricted</t>
  </si>
  <si>
    <t>Official Statement 2003 Water</t>
  </si>
  <si>
    <t xml:space="preserve">In 2002 the Authority issued, on behalf of a private school, Educational Facilities Variable Rate Demand Revenue Bonds. Payments are to be made by the private school. </t>
  </si>
  <si>
    <t>Series 2002 Bonds - Private School Financing</t>
  </si>
  <si>
    <t>Neither</t>
  </si>
  <si>
    <t>In August 2002, the Authority issued, on behalf of a private school (a Pennsylvania not-forprofit corporation), Education Facilities Variable Rate Demand Revenue Bonds in the amount of $7M</t>
  </si>
  <si>
    <t>Chester</t>
  </si>
  <si>
    <t>Per thousand gallons</t>
  </si>
  <si>
    <t>Bulk Water</t>
  </si>
  <si>
    <t>Guaranteed bonds</t>
  </si>
  <si>
    <t>Water Revenue Bonds 2003</t>
  </si>
  <si>
    <t>Deposit to Construction Fund</t>
  </si>
  <si>
    <t>Deposit to Debt Service Fund - Capitalized Interest</t>
  </si>
  <si>
    <t>Offical Statement 2004 Water</t>
  </si>
  <si>
    <t>Lease was terminated in 1990 when the Authority provided for the payment of the debt service to all outstanding bonds. Then a Management agreement was signed for the relationship between the water system and borough.</t>
  </si>
  <si>
    <t>South Pottstown, a portion of North Coventry now as a bulk customer</t>
  </si>
  <si>
    <t>over 3,000,000 gallons</t>
  </si>
  <si>
    <t>Consumer Type</t>
  </si>
  <si>
    <t>Sewer revenues are not pledged to or available for payment of the bonds</t>
  </si>
  <si>
    <t>The Borough is ultimately responsible for ensuring the bonds are paid</t>
  </si>
  <si>
    <t>y2003w</t>
  </si>
  <si>
    <t>Rents and Royalties</t>
  </si>
  <si>
    <t>Ronald Downie</t>
  </si>
  <si>
    <t>Project Costs</t>
  </si>
  <si>
    <t>Official Statement 2005 Sewer</t>
  </si>
  <si>
    <t>The authority leases its system to the borough - that lease expires in 2025… redone in 2005. The borough must provide adequate revenue to cover bonds.</t>
  </si>
  <si>
    <t>Yes</t>
  </si>
  <si>
    <t>Allocation under current agreements</t>
  </si>
  <si>
    <t>Waste Management</t>
  </si>
  <si>
    <t>Torque Traction / Dana Corp</t>
  </si>
  <si>
    <t>Pottstown Industrial Complex</t>
  </si>
  <si>
    <t>Pottstown Memorial Medical Center</t>
  </si>
  <si>
    <t>Hospital</t>
  </si>
  <si>
    <t>Pottsgrove Metal Finishers</t>
  </si>
  <si>
    <t>Superior Metal Products Co.</t>
  </si>
  <si>
    <t>Landfill</t>
  </si>
  <si>
    <t>Percent of revenues provided</t>
  </si>
  <si>
    <t xml:space="preserve">On Jan 4, 2005 - the Occidental Chemical Company announced it would be closing its plant in Lower Pottsgrove Township. They direct 450,000 gallons per day of effluent. </t>
  </si>
  <si>
    <t xml:space="preserve">The Occidental Chemcial Company is closing its treatment plant (primary user for sewer). They will continue to pay money to the Auhtority for the remediation of groundwater contamination at the plant site. In addition to basic treatment charges, they pay the Authority $100,000 annually (1.27% of revenues) as a high strength surcharge for the treatment of its effleunt. </t>
  </si>
  <si>
    <t>y2003s</t>
  </si>
  <si>
    <t>Accrued interest</t>
  </si>
  <si>
    <t>Capital Assets</t>
  </si>
  <si>
    <t>2001s</t>
  </si>
  <si>
    <t>Intergovernmental</t>
  </si>
  <si>
    <t>Interest</t>
  </si>
  <si>
    <t>Sewage Disposal</t>
  </si>
  <si>
    <t>Sewage Lines</t>
  </si>
  <si>
    <t>Authority Cost</t>
  </si>
  <si>
    <t>The Sewer System Lease Agreement - annual amounts due to the authority.</t>
  </si>
  <si>
    <t>In April 2002, the Authority sold a portion of its water distribution facilities in Chester County to a Township for $2.5M. They now have an agreement with rate structures. The accrued $225,625 in 2003.</t>
  </si>
  <si>
    <t>Water Revenue Bonds 2004</t>
  </si>
  <si>
    <t>Financial Security Assurance</t>
  </si>
  <si>
    <t>Don Read</t>
  </si>
  <si>
    <t>Ray Lopez</t>
  </si>
  <si>
    <t>Official Statement 2006 Sewer</t>
  </si>
  <si>
    <t>The Authority owns the Sewer System IN 2006, the Sixth Supplmental Lease was authorized where the Authority leases its Sewer System to the Borough. The Borough operates the Sewer System and charges, and collects sewer rates and charges from the users of the Sewer System.</t>
  </si>
  <si>
    <t>The Authority also owns a water system that is seprately secured. Money does not move between the two systems to pay bonds.</t>
  </si>
  <si>
    <t>Sewer Revenue Bonds 2005</t>
  </si>
  <si>
    <t>To be refunded with this bond.</t>
  </si>
  <si>
    <t>Paid 2809647 for leasing sewer system</t>
  </si>
  <si>
    <t>Paid 3072084 for leasing sewer system</t>
  </si>
  <si>
    <t>Refund 1996 Bonds</t>
  </si>
  <si>
    <t>Debt Service Fund Deposit</t>
  </si>
  <si>
    <t>2005 Swaption Termination Payment</t>
  </si>
  <si>
    <t>None - but leases from the borough which does have taxing authority</t>
  </si>
  <si>
    <t>Accounts for 27.5% of revenues; They said they sold 0.5 MGD.</t>
  </si>
  <si>
    <t>Accounts for 3.4% of revenues; They said they sold 0.1884 MGD.</t>
  </si>
  <si>
    <t>Accounts for 54.8% of revenues; Estimated based on sales and percentages to other places.</t>
  </si>
  <si>
    <t>Accounts for 14.3% of revenues; Estimated based on sales and percentages to other places.</t>
  </si>
  <si>
    <t xml:space="preserve">OxyChem closed their treatment plant (was largest users and applied to PADEP for a stream discharge permit for their groundwater flows. If granted, the Authority would lose $100,000 annually. </t>
  </si>
  <si>
    <t>Over the past several years, certain capital expenditures of the Authority's sewer fund have been paid from the Authority's water fund. To date, $1.4M. This is expected to be repaid by the Sewer Fund by December 31, 2006.</t>
  </si>
  <si>
    <t xml:space="preserve">The Authority is in legal dispute with the Waste Management Disposal Services of PA (new largest customer). The Borough tried to terminate acceptance of the landfills wastewater (agreement since 1990). The Waste Management filed suite and wanted $10M. The loss of revenues under existing fee structures is $162,250 - so the Authority will continue to accept the wastewater at a loss. </t>
  </si>
  <si>
    <t>y2004s</t>
  </si>
  <si>
    <t>y2005s</t>
  </si>
  <si>
    <t>y2005w</t>
  </si>
  <si>
    <t>Cash and Cash Equivalents</t>
  </si>
  <si>
    <t>Investments</t>
  </si>
  <si>
    <t>Due from Other Townships</t>
  </si>
  <si>
    <t>Deferred revenue, proceeds from swaption</t>
  </si>
  <si>
    <t>Township escrow liabilities</t>
  </si>
  <si>
    <t>There are two fiscal tables and they don't match. This is true for all sewer bonds</t>
  </si>
  <si>
    <t>AA</t>
  </si>
  <si>
    <t>Assured Guaranty</t>
  </si>
  <si>
    <t>Thomas Carroll</t>
  </si>
  <si>
    <t>Aram Ecker</t>
  </si>
  <si>
    <t>Jason Bobst</t>
  </si>
  <si>
    <t>Official Statement 2009 Water</t>
  </si>
  <si>
    <t>On December 28, 2007 the Authority issued $4,177,250 Water Revenue Bond - I cannot find this bond anywhere.</t>
  </si>
  <si>
    <t>Water Revenue Bonds 2007</t>
  </si>
  <si>
    <t>tentative</t>
  </si>
  <si>
    <t>Refund Series of 2003 Bond</t>
  </si>
  <si>
    <t>Refund Series of 2004 Bond</t>
  </si>
  <si>
    <t>Capitalized Interest</t>
  </si>
  <si>
    <t>Aa2</t>
  </si>
  <si>
    <t>Fitch gave a rating of AA- for Assured Guaranty</t>
  </si>
  <si>
    <t>Berks</t>
  </si>
  <si>
    <t>Fugure development with water extension agreements in place</t>
  </si>
  <si>
    <t>Accounts for 92% of customers and 67% of system revenues</t>
  </si>
  <si>
    <t>Accounts for 5% of customers and 17% of revenues</t>
  </si>
  <si>
    <t>Accounts for 1% of customers and 6% of revenues</t>
  </si>
  <si>
    <t>Accounts for 10% of revenues and 2% of customers</t>
  </si>
  <si>
    <t>y2004w</t>
  </si>
  <si>
    <t>y2006w</t>
  </si>
  <si>
    <t>y2007w</t>
  </si>
  <si>
    <t>y2008w</t>
  </si>
  <si>
    <t>Township contributions</t>
  </si>
  <si>
    <t>Benefits and Insurance</t>
  </si>
  <si>
    <t>y2008s</t>
  </si>
  <si>
    <t>Bond Premium</t>
  </si>
  <si>
    <t>Sewer Revenue Bonds 2006</t>
  </si>
  <si>
    <t>Guanteed by Borough</t>
  </si>
  <si>
    <t>Revenue Note</t>
  </si>
  <si>
    <t>The authority authorized the issuance of a Revenue Note to assist a PA non-profit to acquire a rehabilitation facility within the Borough of Pottstown.</t>
  </si>
  <si>
    <t>In 2005, neighboring townships to the Borough agreed to provide funds to be used by the Authority for various capital projects benefiting the sewer system. Interest income and any unexpended funds are to be returneed to the townships at the end of the project.</t>
  </si>
  <si>
    <t>S</t>
  </si>
  <si>
    <t>W</t>
  </si>
  <si>
    <t>David Renn</t>
  </si>
  <si>
    <t>Jeff Chomnuk</t>
  </si>
  <si>
    <t>Refund Requirements for 2005 Sewer Bond</t>
  </si>
  <si>
    <t>Accounts for 85.48% of revenues</t>
  </si>
  <si>
    <t>Accounts for 7.36% of revenues</t>
  </si>
  <si>
    <t>Accounts for 3.5% of revenues</t>
  </si>
  <si>
    <t>Accounts for 3.66% of revenues</t>
  </si>
  <si>
    <t>Cedar Shopping Center</t>
  </si>
  <si>
    <t>Retail</t>
  </si>
  <si>
    <t>Longview Develoment</t>
  </si>
  <si>
    <t>Dana Corporation</t>
  </si>
  <si>
    <t>JL Machine &amp; Tool, Inc.</t>
  </si>
  <si>
    <t>YMCA</t>
  </si>
  <si>
    <t>Gym</t>
  </si>
  <si>
    <t>University Concrete</t>
  </si>
  <si>
    <t>Wells Fargo Bank</t>
  </si>
  <si>
    <t>Pottstown Lodging Partnership</t>
  </si>
  <si>
    <t>MCI</t>
  </si>
  <si>
    <t>America's Best Motel</t>
  </si>
  <si>
    <t>Hotel</t>
  </si>
  <si>
    <t>Quality Inn</t>
  </si>
  <si>
    <t>Applebee's Restaurant</t>
  </si>
  <si>
    <t>Food Service</t>
  </si>
  <si>
    <t>Bank</t>
  </si>
  <si>
    <t>Communications</t>
  </si>
  <si>
    <t>Dwelling Unit</t>
  </si>
  <si>
    <t>Customer Class</t>
  </si>
  <si>
    <t>Per Quarter Base Rate</t>
  </si>
  <si>
    <t>Mixed Use Residential &amp; Commercial</t>
  </si>
  <si>
    <t>Domestic Private Well Unmetered</t>
  </si>
  <si>
    <t>Commercial Private Well Unmetered</t>
  </si>
  <si>
    <t>Per EDU Per Quarter</t>
  </si>
  <si>
    <t>y2006s</t>
  </si>
  <si>
    <t>y2007s</t>
  </si>
  <si>
    <t>y2009s</t>
  </si>
  <si>
    <t>y2010s</t>
  </si>
  <si>
    <t>y2011s</t>
  </si>
  <si>
    <t>Calculated based on total operating revenues</t>
  </si>
  <si>
    <t>One time cost spread between 2011/2012 for sludge dryer.</t>
  </si>
  <si>
    <t>Management Fee / Executive</t>
  </si>
  <si>
    <t>Contributions to Authority</t>
  </si>
  <si>
    <t>A+</t>
  </si>
  <si>
    <t>Official Statement 2012 Sewer</t>
  </si>
  <si>
    <t>When calculating indebtedness - includes sewer, water, and general obligations. It is separate but not.</t>
  </si>
  <si>
    <t>General Obligation Note 2004</t>
  </si>
  <si>
    <t>GO</t>
  </si>
  <si>
    <t>Water Revenue Bonds Seriess AA of 2009</t>
  </si>
  <si>
    <t>Water Revenue Bonds Series A of 2009</t>
  </si>
  <si>
    <t>General Obligation Note 2012</t>
  </si>
  <si>
    <t>Overlapping Debt - School District</t>
  </si>
  <si>
    <t>Overlapping Debt - Montcomer County</t>
  </si>
  <si>
    <t xml:space="preserve">The Local Government Unit Debt Act (the “Debt Act”) establishes three forms of debt for a local government unit: (i) electoral debt (debt incurred with the approval of the electors for which there are no limits to amount), (ii) nonelectoral debt (limit is 250% of borrowing base), and (iii) lease rental debt (the principal amount of MA debt or debt of another local government unit to be repaid by the local government unit pursuant to a lease, subsidy, ctroact guarantee or other form of oagreement where such debt is or may be payable out of tax revenues and ohter general revenues; limit is 350% of borrowing base of the Borough). </t>
  </si>
  <si>
    <t>y2010w</t>
  </si>
  <si>
    <t>Other Receivables</t>
  </si>
  <si>
    <t>Intergovernmental Receivables</t>
  </si>
  <si>
    <t>Compensated absences</t>
  </si>
  <si>
    <t>In April 2002 the Authority sold a portion of its water distribuiton facility in Chester County to a township. The Authority also entered into a Bulk Water Purchase Agreement with the township for 5 years. The authority now receives $3.56 per thousand gallons of water delivered. The amount of revenue in 2010 was $470,096</t>
  </si>
  <si>
    <t>New addition of Douglass Township in Berks County is in process</t>
  </si>
  <si>
    <t>Refund Requirements of 2009 Water Bonds</t>
  </si>
  <si>
    <t>Official Statement 2012 Water</t>
  </si>
  <si>
    <t>The 2012 Water Bonds are being issued with an accompanying guaranty of payment of principal and interest, when due by the Borough. The specific provisions of the guaranty are set forth in the Guaranty Agreement. Under the covenants of the Guaranty Agreement, the Borough unconditionally guarantees for the benefit of the holders of the 2012 Water Bonds: a) the full and prompt payment of the principal and interest of the Bonds when and as the same shall become due at the stated maturity</t>
  </si>
  <si>
    <r>
      <t xml:space="preserve">In the event the Authority or the Water Trustee shall fail to pay the principal of or interest on the 2012 Water Bond, the Borough plegest its full faith, credit and </t>
    </r>
    <r>
      <rPr>
        <b/>
        <sz val="11"/>
        <color theme="1"/>
        <rFont val="Calibri"/>
        <family val="2"/>
        <scheme val="minor"/>
      </rPr>
      <t>taxing</t>
    </r>
    <r>
      <rPr>
        <sz val="11"/>
        <color theme="1"/>
        <rFont val="Calibri"/>
        <family val="2"/>
        <scheme val="minor"/>
      </rPr>
      <t xml:space="preserve"> power.</t>
    </r>
  </si>
  <si>
    <t xml:space="preserve">The Authority, as lessor, entered into a lease of its water treatment, transmission, porduction, storage and distribution system with the Borough as lessee in Aughst 1, 1963. </t>
  </si>
  <si>
    <t>In 1990, the management agreement was amended so the Authority is responsible for the operation and maintenance of the water system, including rate setting. The borough acts as agent for the Authority in the collection of receipts and revenues for the water system.</t>
  </si>
  <si>
    <t xml:space="preserve"> as a bulk customerSouth Pottstown, a portion of North Coventry</t>
  </si>
  <si>
    <t>Nobody terminated agreement so it continues</t>
  </si>
  <si>
    <t>Lines extended for furthur construction</t>
  </si>
  <si>
    <t>There percentage of customers adds up to 103%. Lowered residential number to accommodate</t>
  </si>
  <si>
    <t>Accounts for 76% of revenues</t>
  </si>
  <si>
    <t>Accounts for 15% of revenues</t>
  </si>
  <si>
    <t>Accounts for 4% of revenues</t>
  </si>
  <si>
    <t>y2009w</t>
  </si>
  <si>
    <t>y2011w</t>
  </si>
  <si>
    <t>AA-</t>
  </si>
  <si>
    <t>H. Michael Benner</t>
  </si>
  <si>
    <t>Sewer Revenue Bonds 2012</t>
  </si>
  <si>
    <t>Will be refunded by this bond</t>
  </si>
  <si>
    <t>Refund 2006 Sewer Bonds</t>
  </si>
  <si>
    <t>Miscellaneous</t>
  </si>
  <si>
    <t>Accounts for 25% of revenues</t>
  </si>
  <si>
    <t>Accounts for 57% of revenues</t>
  </si>
  <si>
    <t>Acounts for 12% of revenues</t>
  </si>
  <si>
    <t>Accounts for 6% of revenues</t>
  </si>
  <si>
    <t>Real Estate</t>
  </si>
  <si>
    <t>Pottstown Plaza Associates</t>
  </si>
  <si>
    <t>740 Queen Street Associates</t>
  </si>
  <si>
    <t>Sly Fox Holdings LLC</t>
  </si>
  <si>
    <t>y2012s</t>
  </si>
  <si>
    <t>y2013s</t>
  </si>
  <si>
    <t>y2014s</t>
  </si>
  <si>
    <t>y2015s</t>
  </si>
  <si>
    <t>Orix</t>
  </si>
  <si>
    <t>West Pottsgrove Industrial Commons</t>
  </si>
  <si>
    <t>Pottsgrove High School</t>
  </si>
  <si>
    <t>School</t>
  </si>
  <si>
    <t>Lower Pottsgrove Elementary</t>
  </si>
  <si>
    <t>per gallon</t>
  </si>
  <si>
    <t>y2016s</t>
  </si>
  <si>
    <t>Sewer lines is moved to a separate fund.</t>
  </si>
  <si>
    <t>MCI c/o ECOVA</t>
  </si>
  <si>
    <t>Pottstown MDP</t>
  </si>
  <si>
    <t>Pottstown Plating Works</t>
  </si>
  <si>
    <t>Walmart Stores</t>
  </si>
  <si>
    <t>y2015w</t>
  </si>
  <si>
    <t>Accounts receivable</t>
  </si>
  <si>
    <t>Water Revenue Bonds 2012</t>
  </si>
  <si>
    <t>Combined these utilities generate 9.45% of the operating revenues ($862,886)</t>
  </si>
  <si>
    <t>Amount required to redeem 2009AA Bonds</t>
  </si>
  <si>
    <t>Accounts for 77% of revenues</t>
  </si>
  <si>
    <t>Accounts for 14% of revenues</t>
  </si>
  <si>
    <t>Private Placement</t>
  </si>
  <si>
    <t>y2012w</t>
  </si>
  <si>
    <t>y2013w</t>
  </si>
  <si>
    <t>y2014w</t>
  </si>
  <si>
    <t>Other projects (cell/garage)</t>
  </si>
  <si>
    <t>Both</t>
  </si>
  <si>
    <t>In Jan 2015, the Authority committed to contribute $200k annually to Pottstown Borough for 10 years to construct a new public works building</t>
  </si>
  <si>
    <t>Official Statement 2016 Water</t>
  </si>
  <si>
    <t>Line Item</t>
  </si>
  <si>
    <t>[1]</t>
  </si>
  <si>
    <t>Enter as shown in the Total Operating Revenues line</t>
  </si>
  <si>
    <t xml:space="preserve"> </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</si>
  <si>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</si>
  <si>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</si>
  <si>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</si>
  <si>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</si>
  <si>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</si>
  <si>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</si>
  <si>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</si>
  <si>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</si>
  <si>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</si>
  <si>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</si>
  <si>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</si>
  <si>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</si>
  <si>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</si>
  <si>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</si>
  <si>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</si>
  <si>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</si>
  <si>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</si>
  <si>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</si>
  <si>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</si>
  <si>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</si>
  <si>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</si>
  <si>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</si>
  <si>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</si>
  <si>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</si>
  <si>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</si>
  <si>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</si>
  <si>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</si>
  <si>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</si>
  <si>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Capital Spending</t>
  </si>
  <si>
    <t>Enter Current PPE less Prior PPE + Depreciation</t>
  </si>
  <si>
    <t>[13]</t>
  </si>
  <si>
    <t>PPE</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</si>
  <si>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</si>
  <si>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</si>
  <si>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</si>
  <si>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</si>
  <si>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</si>
  <si>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</si>
  <si>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</si>
  <si>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r>
      <t xml:space="preserve">_[1] - ( [2] - [3] )_
</t>
    </r>
    <r>
      <rPr>
        <sz val="11"/>
        <color theme="1"/>
        <rFont val="Calibri"/>
        <family val="2"/>
        <scheme val="minor"/>
      </rPr>
      <t>[4] + [4b]</t>
    </r>
  </si>
  <si>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</si>
  <si>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</si>
  <si>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</si>
  <si>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</si>
  <si>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</si>
  <si>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</si>
  <si>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</si>
  <si>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</si>
  <si>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</si>
  <si>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</si>
  <si>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</si>
  <si>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t>
  </si>
  <si>
    <t>CapEx</t>
  </si>
  <si>
    <t>Replacement ratio</t>
  </si>
  <si>
    <r>
      <rPr>
        <u/>
        <sz val="11"/>
        <color theme="1"/>
        <rFont val="Calibri"/>
        <family val="2"/>
        <scheme val="minor"/>
      </rPr>
      <t xml:space="preserve">_CapEx_
</t>
    </r>
    <r>
      <rPr>
        <sz val="11"/>
        <color theme="1"/>
        <rFont val="Calibri"/>
        <family val="2"/>
        <scheme val="minor"/>
      </rPr>
      <t>[3]</t>
    </r>
  </si>
  <si>
    <t>*in cases where accumulated depcreciation is not available, calculate as: 35 - (net PPE / annual depreciation expense)</t>
  </si>
  <si>
    <t>**can also look in cash flow statement for capex value</t>
  </si>
  <si>
    <t>can't figure out how to do only water years without doing this all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</si>
</sst>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color rgb="FF333333"/>
      <name val="Arial"/>
      <family val="2"/>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2" fontId="3" fillId="2" borderId="1" xfId="0" applyNumberFormat="1" applyFont="1" applyFill="1" applyBorder="1"/>
    <xf numFmtId="2" fontId="0" fillId="2" borderId="0" xfId="0" applyNumberFormat="1" applyFill="1"/>
    <xf numFmtId="3" fontId="0" fillId="2" borderId="0" xfId="0" applyNumberFormat="1" applyFill="1"/>
    <xf numFmtId="0" fontId="0" fillId="2" borderId="0" xfId="0" applyFill="1" applyAlignment="1">
      <alignment horizontal="center"/>
    </xf>
    <xf numFmtId="164" fontId="1" fillId="2" borderId="0" xfId="1" applyNumberFormat="1" applyFont="1" applyFill="1" applyAlignment="1">
      <alignment horizontal="center"/>
    </xf>
    <xf numFmtId="43" fontId="0" fillId="2" borderId="0" xfId="1" applyFont="1" applyFill="1"/>
    <xf numFmtId="43" fontId="3" fillId="2" borderId="1" xfId="1" applyFont="1" applyFill="1" applyBorder="1" applyAlignment="1">
      <alignment horizontal="center"/>
    </xf>
    <xf numFmtId="43" fontId="3" fillId="2" borderId="0" xfId="1" applyFont="1" applyFill="1" applyAlignment="1">
      <alignment horizontal="center"/>
    </xf>
    <xf numFmtId="43" fontId="3" fillId="2" borderId="0" xfId="1" applyFont="1" applyFill="1"/>
    <xf numFmtId="43" fontId="1" fillId="2" borderId="0" xfId="1" applyFont="1" applyFill="1" applyAlignment="1">
      <alignment horizontal="center"/>
    </xf>
    <xf numFmtId="164" fontId="3" fillId="3" borderId="0" xfId="1" applyNumberFormat="1" applyFont="1" applyFill="1"/>
    <xf numFmtId="0" fontId="0" fillId="3" borderId="0" xfId="0" applyFill="1"/>
    <xf numFmtId="0" fontId="5" fillId="0" borderId="0" xfId="0" applyFont="1"/>
    <xf numFmtId="164" fontId="1" fillId="2" borderId="0" xfId="1" applyNumberFormat="1" applyFont="1" applyFill="1"/>
    <xf numFmtId="0" fontId="0" fillId="2" borderId="0" xfId="0" applyFill="1" applyAlignment="1">
      <alignment horizontal="left"/>
    </xf>
    <xf numFmtId="0" fontId="3" fillId="0" borderId="1" xfId="0" applyFont="1" applyBorder="1"/>
    <xf numFmtId="0" fontId="6" fillId="0" borderId="0" xfId="0" applyFont="1"/>
    <xf numFmtId="0" fontId="7" fillId="0" borderId="0" xfId="0" applyFont="1" applyAlignment="1">
      <alignment horizontal="left" indent="1"/>
    </xf>
    <xf numFmtId="164" fontId="0" fillId="0" borderId="0" xfId="1" applyNumberFormat="1" applyFont="1"/>
    <xf numFmtId="0" fontId="8"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9" fillId="0" borderId="0" xfId="0" applyFont="1" applyAlignment="1">
      <alignment horizontal="center" vertical="center" wrapText="1"/>
    </xf>
    <xf numFmtId="1" fontId="0" fillId="0" borderId="0" xfId="0" applyNumberFormat="1"/>
    <xf numFmtId="9" fontId="0" fillId="0" borderId="0" xfId="2" applyFont="1"/>
    <xf numFmtId="166"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8"/>
  <sheetViews>
    <sheetView workbookViewId="0">
      <selection activeCell="A25" sqref="A25"/>
    </sheetView>
  </sheetViews>
  <sheetFormatPr baseColWidth="10" defaultColWidth="8.83203125" defaultRowHeight="15" x14ac:dyDescent="0.2"/>
  <cols>
    <col min="1" max="1" width="23.1640625" style="1" customWidth="1"/>
    <col min="2" max="2" width="8.83203125" style="1"/>
    <col min="3" max="3" width="63.83203125" style="1" customWidth="1"/>
    <col min="4" max="16384" width="8.83203125" style="1"/>
  </cols>
  <sheetData>
    <row r="1" spans="1:3" ht="19" x14ac:dyDescent="0.25">
      <c r="A1" s="17" t="s">
        <v>72</v>
      </c>
    </row>
    <row r="2" spans="1:3" ht="19" x14ac:dyDescent="0.25">
      <c r="A2" s="17" t="s">
        <v>76</v>
      </c>
    </row>
    <row r="4" spans="1:3" x14ac:dyDescent="0.2">
      <c r="A4" s="18" t="s">
        <v>73</v>
      </c>
      <c r="B4" s="18" t="s">
        <v>74</v>
      </c>
      <c r="C4" s="18" t="s">
        <v>75</v>
      </c>
    </row>
    <row r="5" spans="1:3" x14ac:dyDescent="0.2">
      <c r="A5" s="1" t="s">
        <v>202</v>
      </c>
      <c r="B5" s="1">
        <v>11</v>
      </c>
      <c r="C5" s="1" t="s">
        <v>203</v>
      </c>
    </row>
    <row r="6" spans="1:3" x14ac:dyDescent="0.2">
      <c r="A6" s="1" t="s">
        <v>202</v>
      </c>
      <c r="B6" s="1">
        <v>13</v>
      </c>
      <c r="C6" s="1" t="s">
        <v>237</v>
      </c>
    </row>
    <row r="7" spans="1:3" x14ac:dyDescent="0.2">
      <c r="A7" s="1" t="s">
        <v>202</v>
      </c>
      <c r="B7" s="1">
        <v>37</v>
      </c>
      <c r="C7" s="1" t="s">
        <v>288</v>
      </c>
    </row>
    <row r="8" spans="1:3" s="31" customFormat="1" x14ac:dyDescent="0.2">
      <c r="A8" s="31" t="s">
        <v>202</v>
      </c>
      <c r="B8" s="31">
        <v>65</v>
      </c>
      <c r="C8" s="31" t="s">
        <v>289</v>
      </c>
    </row>
    <row r="9" spans="1:3" x14ac:dyDescent="0.2">
      <c r="A9" s="1" t="s">
        <v>202</v>
      </c>
      <c r="B9" s="1">
        <v>87</v>
      </c>
      <c r="C9" s="1" t="s">
        <v>323</v>
      </c>
    </row>
    <row r="11" spans="1:3" s="31" customFormat="1" x14ac:dyDescent="0.2">
      <c r="A11" s="31" t="s">
        <v>324</v>
      </c>
    </row>
    <row r="13" spans="1:3" x14ac:dyDescent="0.2">
      <c r="A13" s="1" t="s">
        <v>332</v>
      </c>
      <c r="B13" s="1">
        <v>7</v>
      </c>
      <c r="C13" s="1" t="s">
        <v>333</v>
      </c>
    </row>
    <row r="14" spans="1:3" s="31" customFormat="1" x14ac:dyDescent="0.2">
      <c r="A14" s="31" t="s">
        <v>332</v>
      </c>
      <c r="B14" s="31">
        <v>13</v>
      </c>
      <c r="C14" s="31" t="s">
        <v>338</v>
      </c>
    </row>
    <row r="15" spans="1:3" s="31" customFormat="1" x14ac:dyDescent="0.2">
      <c r="A15" s="31" t="s">
        <v>332</v>
      </c>
      <c r="B15" s="31">
        <v>17</v>
      </c>
      <c r="C15" s="31" t="s">
        <v>340</v>
      </c>
    </row>
    <row r="16" spans="1:3" x14ac:dyDescent="0.2">
      <c r="A16" s="1" t="s">
        <v>332</v>
      </c>
      <c r="B16" s="1">
        <v>18</v>
      </c>
      <c r="C16" s="1" t="s">
        <v>341</v>
      </c>
    </row>
    <row r="17" spans="1:3" x14ac:dyDescent="0.2">
      <c r="A17" s="1" t="s">
        <v>332</v>
      </c>
      <c r="B17" s="1">
        <v>39</v>
      </c>
      <c r="C17" s="1" t="s">
        <v>364</v>
      </c>
    </row>
    <row r="18" spans="1:3" x14ac:dyDescent="0.2">
      <c r="A18" s="1" t="s">
        <v>332</v>
      </c>
      <c r="B18" s="1">
        <v>45</v>
      </c>
      <c r="C18" s="1" t="s">
        <v>365</v>
      </c>
    </row>
    <row r="19" spans="1:3" x14ac:dyDescent="0.2">
      <c r="A19" s="1" t="s">
        <v>332</v>
      </c>
      <c r="B19" s="1">
        <v>51</v>
      </c>
      <c r="C19" s="1" t="s">
        <v>366</v>
      </c>
    </row>
    <row r="20" spans="1:3" x14ac:dyDescent="0.2">
      <c r="A20" s="1" t="s">
        <v>332</v>
      </c>
      <c r="B20" s="1">
        <v>64</v>
      </c>
      <c r="C20" s="1" t="s">
        <v>367</v>
      </c>
    </row>
    <row r="22" spans="1:3" x14ac:dyDescent="0.2">
      <c r="A22" s="1" t="s">
        <v>405</v>
      </c>
      <c r="B22" s="1">
        <v>50</v>
      </c>
      <c r="C22" s="1" t="s">
        <v>398</v>
      </c>
    </row>
    <row r="24" spans="1:3" x14ac:dyDescent="0.2">
      <c r="A24" s="1" t="s">
        <v>408</v>
      </c>
      <c r="B24" s="1">
        <v>23</v>
      </c>
      <c r="C24" s="1" t="s">
        <v>406</v>
      </c>
    </row>
    <row r="25" spans="1:3" s="31" customFormat="1" x14ac:dyDescent="0.2">
      <c r="A25" s="31" t="s">
        <v>408</v>
      </c>
      <c r="B25" s="31">
        <v>24</v>
      </c>
      <c r="C25" s="31" t="s">
        <v>407</v>
      </c>
    </row>
    <row r="26" spans="1:3" x14ac:dyDescent="0.2">
      <c r="A26" s="1" t="s">
        <v>408</v>
      </c>
      <c r="B26" s="1">
        <v>24</v>
      </c>
      <c r="C26" s="1" t="s">
        <v>409</v>
      </c>
    </row>
    <row r="27" spans="1:3" x14ac:dyDescent="0.2">
      <c r="A27" s="1" t="s">
        <v>408</v>
      </c>
      <c r="B27" s="1">
        <v>25</v>
      </c>
      <c r="C27" s="1" t="s">
        <v>410</v>
      </c>
    </row>
    <row r="28" spans="1:3" x14ac:dyDescent="0.2">
      <c r="A28" s="1" t="s">
        <v>408</v>
      </c>
      <c r="B28" s="1">
        <v>49</v>
      </c>
      <c r="C28" s="1" t="s">
        <v>411</v>
      </c>
    </row>
    <row r="30" spans="1:3" x14ac:dyDescent="0.2">
      <c r="A30" s="1" t="s">
        <v>423</v>
      </c>
      <c r="B30" s="1">
        <v>5</v>
      </c>
      <c r="C30" s="1" t="s">
        <v>424</v>
      </c>
    </row>
    <row r="31" spans="1:3" x14ac:dyDescent="0.2">
      <c r="A31" s="1" t="s">
        <v>423</v>
      </c>
      <c r="B31" s="1">
        <v>12</v>
      </c>
      <c r="C31" s="1" t="s">
        <v>430</v>
      </c>
    </row>
    <row r="32" spans="1:3" x14ac:dyDescent="0.2">
      <c r="A32" s="1" t="s">
        <v>423</v>
      </c>
      <c r="B32" s="1">
        <v>18</v>
      </c>
      <c r="C32" s="1" t="s">
        <v>432</v>
      </c>
    </row>
    <row r="33" spans="1:3" x14ac:dyDescent="0.2">
      <c r="A33" s="1" t="s">
        <v>423</v>
      </c>
      <c r="B33" s="1">
        <v>20</v>
      </c>
      <c r="C33" s="1" t="s">
        <v>433</v>
      </c>
    </row>
    <row r="34" spans="1:3" s="31" customFormat="1" x14ac:dyDescent="0.2">
      <c r="A34" s="31" t="s">
        <v>423</v>
      </c>
      <c r="B34" s="31">
        <v>23</v>
      </c>
      <c r="C34" s="31" t="s">
        <v>434</v>
      </c>
    </row>
    <row r="35" spans="1:3" x14ac:dyDescent="0.2">
      <c r="C35" s="1" t="s">
        <v>435</v>
      </c>
    </row>
    <row r="36" spans="1:3" x14ac:dyDescent="0.2">
      <c r="C36" s="1" t="s">
        <v>436</v>
      </c>
    </row>
    <row r="38" spans="1:3" x14ac:dyDescent="0.2">
      <c r="A38" s="1" t="s">
        <v>489</v>
      </c>
      <c r="B38" s="1">
        <v>58</v>
      </c>
      <c r="C38" s="1" t="s">
        <v>490</v>
      </c>
    </row>
    <row r="40" spans="1:3" x14ac:dyDescent="0.2">
      <c r="A40" s="1" t="s">
        <v>501</v>
      </c>
      <c r="B40" s="1">
        <v>13</v>
      </c>
      <c r="C40" s="1" t="s">
        <v>502</v>
      </c>
    </row>
    <row r="41" spans="1:3" x14ac:dyDescent="0.2">
      <c r="A41" s="1" t="s">
        <v>501</v>
      </c>
      <c r="B41" s="1">
        <v>19</v>
      </c>
      <c r="C41" s="1" t="s">
        <v>506</v>
      </c>
    </row>
    <row r="42" spans="1:3" x14ac:dyDescent="0.2">
      <c r="A42" s="1" t="s">
        <v>501</v>
      </c>
      <c r="B42" s="1">
        <v>25</v>
      </c>
      <c r="C42" s="1" t="s">
        <v>507</v>
      </c>
    </row>
    <row r="44" spans="1:3" x14ac:dyDescent="0.2">
      <c r="A44" s="1" t="s">
        <v>512</v>
      </c>
      <c r="B44" s="1">
        <v>10</v>
      </c>
      <c r="C44" s="1" t="s">
        <v>513</v>
      </c>
    </row>
    <row r="45" spans="1:3" s="31" customFormat="1" x14ac:dyDescent="0.2">
      <c r="A45" s="31" t="s">
        <v>512</v>
      </c>
      <c r="B45" s="31">
        <v>13</v>
      </c>
      <c r="C45" s="31" t="s">
        <v>526</v>
      </c>
    </row>
    <row r="46" spans="1:3" x14ac:dyDescent="0.2">
      <c r="A46" s="1" t="s">
        <v>512</v>
      </c>
      <c r="B46" s="1">
        <v>68</v>
      </c>
      <c r="C46" s="1" t="s">
        <v>536</v>
      </c>
    </row>
    <row r="47" spans="1:3" x14ac:dyDescent="0.2">
      <c r="A47" s="1" t="s">
        <v>512</v>
      </c>
      <c r="B47" s="1">
        <v>69</v>
      </c>
      <c r="C47" s="1" t="s">
        <v>537</v>
      </c>
    </row>
    <row r="49" spans="1:3" x14ac:dyDescent="0.2">
      <c r="A49" s="1" t="s">
        <v>542</v>
      </c>
      <c r="B49" s="1">
        <v>6</v>
      </c>
      <c r="C49" s="1" t="s">
        <v>543</v>
      </c>
    </row>
    <row r="50" spans="1:3" x14ac:dyDescent="0.2">
      <c r="A50" s="1" t="s">
        <v>542</v>
      </c>
      <c r="B50" s="1">
        <v>6</v>
      </c>
      <c r="C50" s="1" t="s">
        <v>544</v>
      </c>
    </row>
    <row r="51" spans="1:3" s="31" customFormat="1" x14ac:dyDescent="0.2">
      <c r="A51" s="31" t="s">
        <v>542</v>
      </c>
      <c r="B51" s="31">
        <v>16</v>
      </c>
      <c r="C51" s="31" t="s">
        <v>557</v>
      </c>
    </row>
    <row r="52" spans="1:3" s="31" customFormat="1" x14ac:dyDescent="0.2">
      <c r="A52" s="31" t="s">
        <v>542</v>
      </c>
      <c r="B52" s="31">
        <v>16</v>
      </c>
      <c r="C52" s="31" t="s">
        <v>558</v>
      </c>
    </row>
    <row r="53" spans="1:3" s="31" customFormat="1" x14ac:dyDescent="0.2">
      <c r="A53" s="31" t="s">
        <v>542</v>
      </c>
      <c r="B53" s="31">
        <v>17</v>
      </c>
      <c r="C53" s="31" t="s">
        <v>559</v>
      </c>
    </row>
    <row r="55" spans="1:3" x14ac:dyDescent="0.2">
      <c r="A55" s="1" t="s">
        <v>574</v>
      </c>
      <c r="B55" s="1">
        <v>9</v>
      </c>
      <c r="C55" s="1" t="s">
        <v>575</v>
      </c>
    </row>
    <row r="56" spans="1:3" x14ac:dyDescent="0.2">
      <c r="A56" s="1" t="s">
        <v>574</v>
      </c>
      <c r="B56" s="1">
        <v>97</v>
      </c>
      <c r="C56" s="1" t="s">
        <v>600</v>
      </c>
    </row>
    <row r="57" spans="1:3" x14ac:dyDescent="0.2">
      <c r="A57" s="1" t="s">
        <v>574</v>
      </c>
      <c r="B57" s="1">
        <v>97</v>
      </c>
      <c r="C57" s="1" t="s">
        <v>601</v>
      </c>
    </row>
    <row r="59" spans="1:3" x14ac:dyDescent="0.2">
      <c r="A59" s="1" t="s">
        <v>646</v>
      </c>
      <c r="B59" s="1">
        <v>47</v>
      </c>
      <c r="C59" s="1" t="s">
        <v>647</v>
      </c>
    </row>
    <row r="60" spans="1:3" s="31" customFormat="1" x14ac:dyDescent="0.2">
      <c r="A60" s="31" t="s">
        <v>646</v>
      </c>
      <c r="B60" s="31">
        <v>48</v>
      </c>
      <c r="C60" s="31" t="s">
        <v>655</v>
      </c>
    </row>
    <row r="61" spans="1:3" s="31" customFormat="1" x14ac:dyDescent="0.2">
      <c r="A61" s="31" t="s">
        <v>646</v>
      </c>
      <c r="B61" s="31">
        <v>79</v>
      </c>
      <c r="C61" s="31" t="s">
        <v>660</v>
      </c>
    </row>
    <row r="63" spans="1:3" x14ac:dyDescent="0.2">
      <c r="A63" s="1" t="s">
        <v>663</v>
      </c>
      <c r="B63" s="1">
        <v>15</v>
      </c>
      <c r="C63" s="1" t="s">
        <v>664</v>
      </c>
    </row>
    <row r="64" spans="1:3" x14ac:dyDescent="0.2">
      <c r="A64" s="1" t="s">
        <v>663</v>
      </c>
      <c r="B64" s="1">
        <v>16</v>
      </c>
      <c r="C64" s="1" t="s">
        <v>665</v>
      </c>
    </row>
    <row r="65" spans="1:3" x14ac:dyDescent="0.2">
      <c r="A65" s="1" t="s">
        <v>663</v>
      </c>
      <c r="B65" s="1">
        <v>16</v>
      </c>
      <c r="C65" s="1" t="s">
        <v>666</v>
      </c>
    </row>
    <row r="66" spans="1:3" x14ac:dyDescent="0.2">
      <c r="A66" s="1" t="s">
        <v>663</v>
      </c>
      <c r="B66" s="1">
        <v>17</v>
      </c>
      <c r="C66" s="1" t="s">
        <v>667</v>
      </c>
    </row>
    <row r="68" spans="1:3" x14ac:dyDescent="0.2">
      <c r="A68" s="1" t="s">
        <v>721</v>
      </c>
      <c r="B68" s="1">
        <v>87</v>
      </c>
      <c r="C68" s="1" t="s">
        <v>720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0"/>
  <sheetViews>
    <sheetView topLeftCell="A20" workbookViewId="0">
      <selection activeCell="H59" sqref="H59"/>
    </sheetView>
  </sheetViews>
  <sheetFormatPr baseColWidth="10" defaultColWidth="8.83203125" defaultRowHeight="15" x14ac:dyDescent="0.2"/>
  <cols>
    <col min="1" max="1" width="10.1640625" style="1" bestFit="1" customWidth="1"/>
    <col min="2" max="3" width="8.83203125" style="1"/>
    <col min="4" max="4" width="11.1640625" style="1" bestFit="1" customWidth="1"/>
    <col min="5" max="5" width="11.5" style="1" bestFit="1" customWidth="1"/>
    <col min="6" max="6" width="15.5" style="1" bestFit="1" customWidth="1"/>
    <col min="7" max="16384" width="8.83203125" style="1"/>
  </cols>
  <sheetData>
    <row r="1" spans="1:8" x14ac:dyDescent="0.2">
      <c r="A1" s="2" t="s">
        <v>0</v>
      </c>
      <c r="B1" s="2" t="s">
        <v>27</v>
      </c>
      <c r="C1" s="2" t="s">
        <v>2</v>
      </c>
      <c r="D1" s="2" t="s">
        <v>24</v>
      </c>
      <c r="E1" s="2" t="s">
        <v>115</v>
      </c>
      <c r="F1" s="2" t="s">
        <v>112</v>
      </c>
      <c r="G1" s="2" t="s">
        <v>98</v>
      </c>
      <c r="H1" s="4" t="s">
        <v>85</v>
      </c>
    </row>
    <row r="2" spans="1:8" x14ac:dyDescent="0.2">
      <c r="A2" s="1" t="s">
        <v>170</v>
      </c>
      <c r="B2" s="1" t="s">
        <v>172</v>
      </c>
      <c r="C2" s="1">
        <v>1990</v>
      </c>
      <c r="D2" s="1" t="s">
        <v>173</v>
      </c>
      <c r="E2" s="1" t="s">
        <v>213</v>
      </c>
      <c r="F2" s="1" t="s">
        <v>171</v>
      </c>
      <c r="G2" s="1" t="s">
        <v>204</v>
      </c>
    </row>
    <row r="3" spans="1:8" x14ac:dyDescent="0.2">
      <c r="A3" s="1" t="s">
        <v>170</v>
      </c>
      <c r="B3" s="1" t="s">
        <v>172</v>
      </c>
      <c r="C3" s="1">
        <v>1990</v>
      </c>
      <c r="D3" s="1" t="s">
        <v>173</v>
      </c>
      <c r="E3" s="1" t="s">
        <v>213</v>
      </c>
      <c r="F3" s="1" t="s">
        <v>206</v>
      </c>
      <c r="G3" s="1" t="s">
        <v>207</v>
      </c>
      <c r="H3" s="1" t="s">
        <v>208</v>
      </c>
    </row>
    <row r="4" spans="1:8" x14ac:dyDescent="0.2">
      <c r="A4" s="1" t="s">
        <v>170</v>
      </c>
      <c r="B4" s="1" t="s">
        <v>172</v>
      </c>
      <c r="C4" s="1">
        <v>1990</v>
      </c>
      <c r="D4" s="1" t="s">
        <v>173</v>
      </c>
      <c r="E4" s="1" t="s">
        <v>494</v>
      </c>
      <c r="F4" s="1" t="s">
        <v>209</v>
      </c>
      <c r="G4" s="1" t="s">
        <v>207</v>
      </c>
      <c r="H4" s="1" t="s">
        <v>210</v>
      </c>
    </row>
    <row r="5" spans="1:8" x14ac:dyDescent="0.2">
      <c r="A5" s="1" t="s">
        <v>170</v>
      </c>
      <c r="B5" s="1" t="s">
        <v>172</v>
      </c>
      <c r="C5" s="1">
        <v>1990</v>
      </c>
      <c r="D5" s="1" t="s">
        <v>173</v>
      </c>
      <c r="E5" s="1" t="s">
        <v>213</v>
      </c>
      <c r="F5" s="1" t="s">
        <v>211</v>
      </c>
      <c r="G5" s="1" t="s">
        <v>207</v>
      </c>
      <c r="H5" s="1" t="s">
        <v>212</v>
      </c>
    </row>
    <row r="6" spans="1:8" x14ac:dyDescent="0.2">
      <c r="A6" s="1" t="s">
        <v>170</v>
      </c>
      <c r="B6" s="1" t="s">
        <v>172</v>
      </c>
      <c r="C6" s="1">
        <v>1995</v>
      </c>
      <c r="D6" s="1" t="s">
        <v>173</v>
      </c>
      <c r="E6" s="1" t="s">
        <v>213</v>
      </c>
      <c r="F6" s="1" t="s">
        <v>171</v>
      </c>
      <c r="G6" s="1" t="s">
        <v>204</v>
      </c>
    </row>
    <row r="7" spans="1:8" x14ac:dyDescent="0.2">
      <c r="A7" s="1" t="s">
        <v>170</v>
      </c>
      <c r="B7" s="1" t="s">
        <v>172</v>
      </c>
      <c r="C7" s="1">
        <v>1995</v>
      </c>
      <c r="D7" s="1" t="s">
        <v>173</v>
      </c>
      <c r="E7" s="1" t="s">
        <v>213</v>
      </c>
      <c r="F7" s="1" t="s">
        <v>206</v>
      </c>
      <c r="G7" s="1" t="s">
        <v>207</v>
      </c>
      <c r="H7" s="1" t="s">
        <v>208</v>
      </c>
    </row>
    <row r="8" spans="1:8" x14ac:dyDescent="0.2">
      <c r="A8" s="1" t="s">
        <v>170</v>
      </c>
      <c r="B8" s="1" t="s">
        <v>172</v>
      </c>
      <c r="C8" s="1">
        <v>1995</v>
      </c>
      <c r="D8" s="1" t="s">
        <v>173</v>
      </c>
      <c r="E8" s="1" t="s">
        <v>494</v>
      </c>
      <c r="F8" s="1" t="s">
        <v>209</v>
      </c>
      <c r="G8" s="1" t="s">
        <v>207</v>
      </c>
      <c r="H8" s="1" t="s">
        <v>210</v>
      </c>
    </row>
    <row r="9" spans="1:8" x14ac:dyDescent="0.2">
      <c r="A9" s="1" t="s">
        <v>170</v>
      </c>
      <c r="B9" s="1" t="s">
        <v>172</v>
      </c>
      <c r="C9" s="1">
        <v>1995</v>
      </c>
      <c r="D9" s="1" t="s">
        <v>173</v>
      </c>
      <c r="E9" s="1" t="s">
        <v>213</v>
      </c>
      <c r="F9" s="1" t="s">
        <v>382</v>
      </c>
      <c r="G9" s="1" t="s">
        <v>207</v>
      </c>
      <c r="H9" s="1" t="s">
        <v>212</v>
      </c>
    </row>
    <row r="10" spans="1:8" x14ac:dyDescent="0.2">
      <c r="A10" s="1" t="s">
        <v>170</v>
      </c>
      <c r="B10" s="1" t="s">
        <v>172</v>
      </c>
      <c r="C10" s="1">
        <v>1998</v>
      </c>
      <c r="D10" s="1" t="s">
        <v>173</v>
      </c>
      <c r="E10" s="1" t="s">
        <v>213</v>
      </c>
      <c r="F10" s="1" t="s">
        <v>171</v>
      </c>
      <c r="G10" s="1" t="s">
        <v>204</v>
      </c>
    </row>
    <row r="11" spans="1:8" x14ac:dyDescent="0.2">
      <c r="A11" s="1" t="s">
        <v>170</v>
      </c>
      <c r="B11" s="1" t="s">
        <v>172</v>
      </c>
      <c r="C11" s="1">
        <v>1998</v>
      </c>
      <c r="D11" s="1" t="s">
        <v>173</v>
      </c>
      <c r="E11" s="1" t="s">
        <v>213</v>
      </c>
      <c r="F11" s="1" t="s">
        <v>206</v>
      </c>
      <c r="G11" s="1" t="s">
        <v>207</v>
      </c>
      <c r="H11" s="1" t="s">
        <v>208</v>
      </c>
    </row>
    <row r="12" spans="1:8" x14ac:dyDescent="0.2">
      <c r="A12" s="1" t="s">
        <v>170</v>
      </c>
      <c r="B12" s="1" t="s">
        <v>172</v>
      </c>
      <c r="C12" s="1">
        <v>1998</v>
      </c>
      <c r="D12" s="1" t="s">
        <v>173</v>
      </c>
      <c r="E12" s="1" t="s">
        <v>494</v>
      </c>
      <c r="F12" s="1" t="s">
        <v>209</v>
      </c>
      <c r="G12" s="1" t="s">
        <v>207</v>
      </c>
      <c r="H12" s="1" t="s">
        <v>210</v>
      </c>
    </row>
    <row r="13" spans="1:8" x14ac:dyDescent="0.2">
      <c r="A13" s="1" t="s">
        <v>170</v>
      </c>
      <c r="B13" s="1" t="s">
        <v>172</v>
      </c>
      <c r="C13" s="1">
        <v>1998</v>
      </c>
      <c r="D13" s="1" t="s">
        <v>173</v>
      </c>
      <c r="E13" s="1" t="s">
        <v>213</v>
      </c>
      <c r="F13" s="1" t="s">
        <v>211</v>
      </c>
      <c r="G13" s="1" t="s">
        <v>207</v>
      </c>
      <c r="H13" s="1" t="s">
        <v>212</v>
      </c>
    </row>
    <row r="14" spans="1:8" x14ac:dyDescent="0.2">
      <c r="A14" s="1" t="s">
        <v>170</v>
      </c>
      <c r="B14" s="1" t="s">
        <v>172</v>
      </c>
      <c r="C14" s="1">
        <v>1998</v>
      </c>
      <c r="D14" s="1" t="s">
        <v>173</v>
      </c>
      <c r="E14" s="1" t="s">
        <v>213</v>
      </c>
      <c r="F14" s="1" t="s">
        <v>382</v>
      </c>
      <c r="G14" s="1" t="s">
        <v>207</v>
      </c>
      <c r="H14" s="1" t="s">
        <v>212</v>
      </c>
    </row>
    <row r="15" spans="1:8" x14ac:dyDescent="0.2">
      <c r="A15" s="1" t="s">
        <v>170</v>
      </c>
      <c r="B15" s="1" t="s">
        <v>172</v>
      </c>
      <c r="C15" s="1">
        <v>2003</v>
      </c>
      <c r="D15" s="1" t="s">
        <v>173</v>
      </c>
      <c r="E15" s="1" t="s">
        <v>213</v>
      </c>
      <c r="F15" s="1" t="s">
        <v>171</v>
      </c>
      <c r="G15" s="1" t="s">
        <v>204</v>
      </c>
    </row>
    <row r="16" spans="1:8" x14ac:dyDescent="0.2">
      <c r="A16" s="1" t="s">
        <v>170</v>
      </c>
      <c r="B16" s="1" t="s">
        <v>172</v>
      </c>
      <c r="C16" s="1">
        <v>2003</v>
      </c>
      <c r="D16" s="1" t="s">
        <v>173</v>
      </c>
      <c r="E16" s="1" t="s">
        <v>213</v>
      </c>
      <c r="F16" s="1" t="s">
        <v>206</v>
      </c>
      <c r="G16" s="1" t="s">
        <v>207</v>
      </c>
      <c r="H16" s="1" t="s">
        <v>208</v>
      </c>
    </row>
    <row r="17" spans="1:8" x14ac:dyDescent="0.2">
      <c r="A17" s="1" t="s">
        <v>170</v>
      </c>
      <c r="B17" s="1" t="s">
        <v>172</v>
      </c>
      <c r="C17" s="1">
        <v>2003</v>
      </c>
      <c r="D17" s="1" t="s">
        <v>173</v>
      </c>
      <c r="E17" s="1" t="s">
        <v>494</v>
      </c>
      <c r="F17" s="1" t="s">
        <v>209</v>
      </c>
      <c r="G17" s="1" t="s">
        <v>207</v>
      </c>
      <c r="H17" s="34" t="s">
        <v>210</v>
      </c>
    </row>
    <row r="18" spans="1:8" x14ac:dyDescent="0.2">
      <c r="A18" s="1" t="s">
        <v>170</v>
      </c>
      <c r="B18" s="1" t="s">
        <v>172</v>
      </c>
      <c r="C18" s="1">
        <v>2003</v>
      </c>
      <c r="D18" s="1" t="s">
        <v>173</v>
      </c>
      <c r="E18" s="1" t="s">
        <v>213</v>
      </c>
      <c r="F18" s="1" t="s">
        <v>211</v>
      </c>
      <c r="G18" s="1" t="s">
        <v>207</v>
      </c>
      <c r="H18" s="1" t="s">
        <v>212</v>
      </c>
    </row>
    <row r="19" spans="1:8" x14ac:dyDescent="0.2">
      <c r="A19" s="1" t="s">
        <v>170</v>
      </c>
      <c r="B19" s="1" t="s">
        <v>172</v>
      </c>
      <c r="C19" s="1">
        <v>2003</v>
      </c>
      <c r="D19" s="1" t="s">
        <v>173</v>
      </c>
      <c r="E19" s="1" t="s">
        <v>213</v>
      </c>
      <c r="F19" s="1" t="s">
        <v>382</v>
      </c>
      <c r="G19" s="1" t="s">
        <v>207</v>
      </c>
      <c r="H19" s="1" t="s">
        <v>212</v>
      </c>
    </row>
    <row r="20" spans="1:8" x14ac:dyDescent="0.2">
      <c r="A20" s="1" t="s">
        <v>170</v>
      </c>
      <c r="B20" s="1" t="s">
        <v>172</v>
      </c>
      <c r="C20" s="1">
        <v>2004</v>
      </c>
      <c r="D20" s="1" t="s">
        <v>173</v>
      </c>
      <c r="E20" s="1" t="s">
        <v>213</v>
      </c>
      <c r="F20" s="1" t="s">
        <v>171</v>
      </c>
      <c r="G20" s="1" t="s">
        <v>204</v>
      </c>
    </row>
    <row r="21" spans="1:8" x14ac:dyDescent="0.2">
      <c r="A21" s="1" t="s">
        <v>170</v>
      </c>
      <c r="B21" s="1" t="s">
        <v>172</v>
      </c>
      <c r="C21" s="1">
        <v>2004</v>
      </c>
      <c r="D21" s="1" t="s">
        <v>173</v>
      </c>
      <c r="E21" s="1" t="s">
        <v>213</v>
      </c>
      <c r="F21" s="1" t="s">
        <v>206</v>
      </c>
      <c r="G21" s="1" t="s">
        <v>207</v>
      </c>
      <c r="H21" s="1" t="s">
        <v>208</v>
      </c>
    </row>
    <row r="22" spans="1:8" x14ac:dyDescent="0.2">
      <c r="A22" s="1" t="s">
        <v>170</v>
      </c>
      <c r="B22" s="1" t="s">
        <v>172</v>
      </c>
      <c r="C22" s="1">
        <v>2004</v>
      </c>
      <c r="D22" s="1" t="s">
        <v>173</v>
      </c>
      <c r="E22" s="1" t="s">
        <v>494</v>
      </c>
      <c r="F22" s="1" t="s">
        <v>209</v>
      </c>
      <c r="G22" s="1" t="s">
        <v>207</v>
      </c>
      <c r="H22" s="34" t="s">
        <v>503</v>
      </c>
    </row>
    <row r="23" spans="1:8" x14ac:dyDescent="0.2">
      <c r="A23" s="1" t="s">
        <v>170</v>
      </c>
      <c r="B23" s="1" t="s">
        <v>172</v>
      </c>
      <c r="C23" s="1">
        <v>2004</v>
      </c>
      <c r="D23" s="1" t="s">
        <v>173</v>
      </c>
      <c r="E23" s="1" t="s">
        <v>213</v>
      </c>
      <c r="F23" s="1" t="s">
        <v>211</v>
      </c>
      <c r="G23" s="1" t="s">
        <v>207</v>
      </c>
      <c r="H23" s="1" t="s">
        <v>212</v>
      </c>
    </row>
    <row r="24" spans="1:8" x14ac:dyDescent="0.2">
      <c r="A24" s="1" t="s">
        <v>170</v>
      </c>
      <c r="B24" s="1" t="s">
        <v>172</v>
      </c>
      <c r="C24" s="1">
        <v>2004</v>
      </c>
      <c r="D24" s="1" t="s">
        <v>173</v>
      </c>
      <c r="E24" s="1" t="s">
        <v>213</v>
      </c>
      <c r="F24" s="1" t="s">
        <v>382</v>
      </c>
      <c r="G24" s="1" t="s">
        <v>207</v>
      </c>
      <c r="H24" s="1" t="s">
        <v>212</v>
      </c>
    </row>
    <row r="25" spans="1:8" x14ac:dyDescent="0.2">
      <c r="A25" s="1" t="s">
        <v>170</v>
      </c>
      <c r="B25" s="1" t="s">
        <v>172</v>
      </c>
      <c r="C25" s="1">
        <v>2006</v>
      </c>
      <c r="D25" s="1" t="s">
        <v>281</v>
      </c>
      <c r="E25" s="1" t="s">
        <v>213</v>
      </c>
      <c r="F25" s="1" t="s">
        <v>171</v>
      </c>
      <c r="G25" s="1" t="s">
        <v>204</v>
      </c>
    </row>
    <row r="26" spans="1:8" x14ac:dyDescent="0.2">
      <c r="A26" s="1" t="s">
        <v>170</v>
      </c>
      <c r="B26" s="1" t="s">
        <v>172</v>
      </c>
      <c r="C26" s="1">
        <v>2006</v>
      </c>
      <c r="D26" s="1" t="s">
        <v>281</v>
      </c>
      <c r="E26" s="1" t="s">
        <v>213</v>
      </c>
      <c r="F26" s="1" t="s">
        <v>211</v>
      </c>
      <c r="G26" s="1" t="s">
        <v>207</v>
      </c>
    </row>
    <row r="27" spans="1:8" x14ac:dyDescent="0.2">
      <c r="A27" s="1" t="s">
        <v>170</v>
      </c>
      <c r="B27" s="1" t="s">
        <v>172</v>
      </c>
      <c r="C27" s="1">
        <v>2006</v>
      </c>
      <c r="D27" s="1" t="s">
        <v>281</v>
      </c>
      <c r="E27" s="1" t="s">
        <v>213</v>
      </c>
      <c r="F27" s="1" t="s">
        <v>382</v>
      </c>
      <c r="G27" s="1" t="s">
        <v>207</v>
      </c>
    </row>
    <row r="28" spans="1:8" x14ac:dyDescent="0.2">
      <c r="A28" s="1" t="s">
        <v>170</v>
      </c>
      <c r="B28" s="1" t="s">
        <v>172</v>
      </c>
      <c r="C28" s="1">
        <v>2006</v>
      </c>
      <c r="D28" s="1" t="s">
        <v>281</v>
      </c>
      <c r="E28" s="1" t="s">
        <v>213</v>
      </c>
      <c r="F28" s="1" t="s">
        <v>206</v>
      </c>
      <c r="G28" s="1" t="s">
        <v>207</v>
      </c>
    </row>
    <row r="29" spans="1:8" x14ac:dyDescent="0.2">
      <c r="A29" s="1" t="s">
        <v>170</v>
      </c>
      <c r="B29" s="1" t="s">
        <v>172</v>
      </c>
      <c r="C29" s="1">
        <v>2009</v>
      </c>
      <c r="D29" s="1" t="s">
        <v>173</v>
      </c>
      <c r="E29" s="1" t="s">
        <v>213</v>
      </c>
      <c r="F29" s="1" t="s">
        <v>171</v>
      </c>
      <c r="G29" s="1" t="s">
        <v>204</v>
      </c>
    </row>
    <row r="30" spans="1:8" x14ac:dyDescent="0.2">
      <c r="A30" s="1" t="s">
        <v>170</v>
      </c>
      <c r="B30" s="1" t="s">
        <v>172</v>
      </c>
      <c r="C30" s="1">
        <v>2009</v>
      </c>
      <c r="D30" s="1" t="s">
        <v>173</v>
      </c>
      <c r="E30" s="1" t="s">
        <v>213</v>
      </c>
      <c r="F30" s="1" t="s">
        <v>206</v>
      </c>
      <c r="G30" s="1" t="s">
        <v>207</v>
      </c>
      <c r="H30" s="1" t="s">
        <v>208</v>
      </c>
    </row>
    <row r="31" spans="1:8" x14ac:dyDescent="0.2">
      <c r="A31" s="1" t="s">
        <v>170</v>
      </c>
      <c r="B31" s="1" t="s">
        <v>172</v>
      </c>
      <c r="C31" s="1">
        <v>2009</v>
      </c>
      <c r="D31" s="1" t="s">
        <v>173</v>
      </c>
      <c r="E31" s="1" t="s">
        <v>494</v>
      </c>
      <c r="F31" s="1" t="s">
        <v>209</v>
      </c>
      <c r="G31" s="1" t="s">
        <v>207</v>
      </c>
      <c r="H31" s="34" t="s">
        <v>503</v>
      </c>
    </row>
    <row r="32" spans="1:8" x14ac:dyDescent="0.2">
      <c r="A32" s="1" t="s">
        <v>170</v>
      </c>
      <c r="B32" s="1" t="s">
        <v>172</v>
      </c>
      <c r="C32" s="1">
        <v>2009</v>
      </c>
      <c r="D32" s="1" t="s">
        <v>173</v>
      </c>
      <c r="E32" s="1" t="s">
        <v>213</v>
      </c>
      <c r="F32" s="1" t="s">
        <v>211</v>
      </c>
      <c r="G32" s="1" t="s">
        <v>207</v>
      </c>
      <c r="H32" s="1" t="s">
        <v>212</v>
      </c>
    </row>
    <row r="33" spans="1:8" x14ac:dyDescent="0.2">
      <c r="A33" s="1" t="s">
        <v>170</v>
      </c>
      <c r="B33" s="1" t="s">
        <v>172</v>
      </c>
      <c r="C33" s="1">
        <v>2009</v>
      </c>
      <c r="D33" s="1" t="s">
        <v>173</v>
      </c>
      <c r="E33" s="1" t="s">
        <v>213</v>
      </c>
      <c r="F33" s="1" t="s">
        <v>382</v>
      </c>
      <c r="G33" s="1" t="s">
        <v>207</v>
      </c>
      <c r="H33" s="1" t="s">
        <v>212</v>
      </c>
    </row>
    <row r="34" spans="1:8" x14ac:dyDescent="0.2">
      <c r="A34" s="1" t="s">
        <v>170</v>
      </c>
      <c r="B34" s="1" t="s">
        <v>172</v>
      </c>
      <c r="C34" s="1">
        <v>2009</v>
      </c>
      <c r="D34" s="1" t="s">
        <v>173</v>
      </c>
      <c r="E34" s="1" t="s">
        <v>583</v>
      </c>
      <c r="F34" s="1" t="s">
        <v>243</v>
      </c>
      <c r="G34" s="1" t="s">
        <v>584</v>
      </c>
    </row>
    <row r="35" spans="1:8" x14ac:dyDescent="0.2">
      <c r="A35" s="1" t="s">
        <v>170</v>
      </c>
      <c r="B35" s="1" t="s">
        <v>172</v>
      </c>
      <c r="C35" s="1">
        <v>2012</v>
      </c>
      <c r="D35" s="1" t="s">
        <v>281</v>
      </c>
      <c r="E35" s="1" t="s">
        <v>213</v>
      </c>
      <c r="F35" s="1" t="s">
        <v>171</v>
      </c>
      <c r="G35" s="1" t="s">
        <v>204</v>
      </c>
    </row>
    <row r="36" spans="1:8" x14ac:dyDescent="0.2">
      <c r="A36" s="1" t="s">
        <v>170</v>
      </c>
      <c r="B36" s="1" t="s">
        <v>172</v>
      </c>
      <c r="C36" s="1">
        <v>2012</v>
      </c>
      <c r="D36" s="1" t="s">
        <v>281</v>
      </c>
      <c r="E36" s="1" t="s">
        <v>213</v>
      </c>
      <c r="F36" s="1" t="s">
        <v>211</v>
      </c>
      <c r="G36" s="1" t="s">
        <v>207</v>
      </c>
    </row>
    <row r="37" spans="1:8" x14ac:dyDescent="0.2">
      <c r="A37" s="1" t="s">
        <v>170</v>
      </c>
      <c r="B37" s="1" t="s">
        <v>172</v>
      </c>
      <c r="C37" s="1">
        <v>2012</v>
      </c>
      <c r="D37" s="1" t="s">
        <v>281</v>
      </c>
      <c r="E37" s="1" t="s">
        <v>213</v>
      </c>
      <c r="F37" s="1" t="s">
        <v>382</v>
      </c>
      <c r="G37" s="1" t="s">
        <v>207</v>
      </c>
    </row>
    <row r="38" spans="1:8" x14ac:dyDescent="0.2">
      <c r="A38" s="1" t="s">
        <v>170</v>
      </c>
      <c r="B38" s="1" t="s">
        <v>172</v>
      </c>
      <c r="C38" s="1">
        <v>2012</v>
      </c>
      <c r="D38" s="1" t="s">
        <v>281</v>
      </c>
      <c r="E38" s="1" t="s">
        <v>213</v>
      </c>
      <c r="F38" s="1" t="s">
        <v>206</v>
      </c>
      <c r="G38" s="1" t="s">
        <v>207</v>
      </c>
    </row>
    <row r="39" spans="1:8" x14ac:dyDescent="0.2">
      <c r="A39" s="1" t="s">
        <v>170</v>
      </c>
      <c r="B39" s="1" t="s">
        <v>172</v>
      </c>
      <c r="C39" s="1">
        <v>2012</v>
      </c>
      <c r="D39" s="1" t="s">
        <v>173</v>
      </c>
      <c r="E39" s="1" t="s">
        <v>213</v>
      </c>
      <c r="F39" s="1" t="s">
        <v>171</v>
      </c>
      <c r="G39" s="1" t="s">
        <v>204</v>
      </c>
    </row>
    <row r="40" spans="1:8" x14ac:dyDescent="0.2">
      <c r="A40" s="1" t="s">
        <v>170</v>
      </c>
      <c r="B40" s="1" t="s">
        <v>172</v>
      </c>
      <c r="C40" s="1">
        <v>2012</v>
      </c>
      <c r="D40" s="1" t="s">
        <v>173</v>
      </c>
      <c r="E40" s="1" t="s">
        <v>213</v>
      </c>
      <c r="F40" s="1" t="s">
        <v>206</v>
      </c>
      <c r="G40" s="1" t="s">
        <v>207</v>
      </c>
      <c r="H40" s="1" t="s">
        <v>208</v>
      </c>
    </row>
    <row r="41" spans="1:8" x14ac:dyDescent="0.2">
      <c r="A41" s="1" t="s">
        <v>170</v>
      </c>
      <c r="B41" s="1" t="s">
        <v>172</v>
      </c>
      <c r="C41" s="1">
        <v>2012</v>
      </c>
      <c r="D41" s="1" t="s">
        <v>173</v>
      </c>
      <c r="E41" s="1" t="s">
        <v>494</v>
      </c>
      <c r="F41" s="1" t="s">
        <v>209</v>
      </c>
      <c r="G41" s="1" t="s">
        <v>207</v>
      </c>
      <c r="H41" s="1" t="s">
        <v>668</v>
      </c>
    </row>
    <row r="42" spans="1:8" x14ac:dyDescent="0.2">
      <c r="A42" s="1" t="s">
        <v>170</v>
      </c>
      <c r="B42" s="1" t="s">
        <v>172</v>
      </c>
      <c r="C42" s="1">
        <v>2012</v>
      </c>
      <c r="D42" s="1" t="s">
        <v>173</v>
      </c>
      <c r="E42" s="1" t="s">
        <v>213</v>
      </c>
      <c r="F42" s="1" t="s">
        <v>211</v>
      </c>
      <c r="G42" s="1" t="s">
        <v>207</v>
      </c>
      <c r="H42" s="1" t="s">
        <v>212</v>
      </c>
    </row>
    <row r="43" spans="1:8" x14ac:dyDescent="0.2">
      <c r="A43" s="1" t="s">
        <v>170</v>
      </c>
      <c r="B43" s="1" t="s">
        <v>172</v>
      </c>
      <c r="C43" s="1">
        <v>2012</v>
      </c>
      <c r="D43" s="1" t="s">
        <v>173</v>
      </c>
      <c r="E43" s="1" t="s">
        <v>213</v>
      </c>
      <c r="F43" s="1" t="s">
        <v>382</v>
      </c>
      <c r="G43" s="1" t="s">
        <v>207</v>
      </c>
      <c r="H43" s="1" t="s">
        <v>212</v>
      </c>
    </row>
    <row r="44" spans="1:8" x14ac:dyDescent="0.2">
      <c r="A44" s="1" t="s">
        <v>170</v>
      </c>
      <c r="B44" s="1" t="s">
        <v>172</v>
      </c>
      <c r="C44" s="1">
        <v>2012</v>
      </c>
      <c r="D44" s="1" t="s">
        <v>173</v>
      </c>
      <c r="E44" s="1" t="s">
        <v>583</v>
      </c>
      <c r="F44" s="1" t="s">
        <v>243</v>
      </c>
      <c r="G44" s="1" t="s">
        <v>207</v>
      </c>
      <c r="H44" s="1" t="s">
        <v>670</v>
      </c>
    </row>
    <row r="45" spans="1:8" x14ac:dyDescent="0.2">
      <c r="A45" s="1" t="s">
        <v>170</v>
      </c>
      <c r="B45" s="1" t="s">
        <v>172</v>
      </c>
      <c r="C45" s="1">
        <v>2016</v>
      </c>
      <c r="D45" s="1" t="s">
        <v>173</v>
      </c>
      <c r="E45" s="1" t="s">
        <v>213</v>
      </c>
      <c r="F45" s="1" t="s">
        <v>171</v>
      </c>
      <c r="G45" s="1" t="s">
        <v>204</v>
      </c>
    </row>
    <row r="46" spans="1:8" x14ac:dyDescent="0.2">
      <c r="A46" s="1" t="s">
        <v>170</v>
      </c>
      <c r="B46" s="1" t="s">
        <v>172</v>
      </c>
      <c r="C46" s="1">
        <v>2016</v>
      </c>
      <c r="D46" s="1" t="s">
        <v>173</v>
      </c>
      <c r="E46" s="1" t="s">
        <v>213</v>
      </c>
      <c r="F46" s="1" t="s">
        <v>206</v>
      </c>
      <c r="G46" s="1" t="s">
        <v>207</v>
      </c>
      <c r="H46" s="1" t="s">
        <v>208</v>
      </c>
    </row>
    <row r="47" spans="1:8" x14ac:dyDescent="0.2">
      <c r="A47" s="1" t="s">
        <v>170</v>
      </c>
      <c r="B47" s="1" t="s">
        <v>172</v>
      </c>
      <c r="C47" s="1">
        <v>2016</v>
      </c>
      <c r="D47" s="1" t="s">
        <v>173</v>
      </c>
      <c r="E47" s="1" t="s">
        <v>494</v>
      </c>
      <c r="F47" s="1" t="s">
        <v>209</v>
      </c>
      <c r="G47" s="1" t="s">
        <v>207</v>
      </c>
      <c r="H47" s="1" t="s">
        <v>668</v>
      </c>
    </row>
    <row r="48" spans="1:8" x14ac:dyDescent="0.2">
      <c r="A48" s="1" t="s">
        <v>170</v>
      </c>
      <c r="B48" s="1" t="s">
        <v>172</v>
      </c>
      <c r="C48" s="1">
        <v>2016</v>
      </c>
      <c r="D48" s="1" t="s">
        <v>173</v>
      </c>
      <c r="E48" s="1" t="s">
        <v>213</v>
      </c>
      <c r="F48" s="1" t="s">
        <v>211</v>
      </c>
      <c r="G48" s="1" t="s">
        <v>207</v>
      </c>
      <c r="H48" s="1" t="s">
        <v>212</v>
      </c>
    </row>
    <row r="49" spans="1:8" x14ac:dyDescent="0.2">
      <c r="A49" s="1" t="s">
        <v>170</v>
      </c>
      <c r="B49" s="1" t="s">
        <v>172</v>
      </c>
      <c r="C49" s="1">
        <v>2016</v>
      </c>
      <c r="D49" s="1" t="s">
        <v>173</v>
      </c>
      <c r="E49" s="1" t="s">
        <v>213</v>
      </c>
      <c r="F49" s="1" t="s">
        <v>382</v>
      </c>
      <c r="G49" s="1" t="s">
        <v>207</v>
      </c>
      <c r="H49" s="1" t="s">
        <v>212</v>
      </c>
    </row>
    <row r="50" spans="1:8" x14ac:dyDescent="0.2">
      <c r="A50" s="1" t="s">
        <v>170</v>
      </c>
      <c r="B50" s="1" t="s">
        <v>172</v>
      </c>
      <c r="C50" s="1">
        <v>2016</v>
      </c>
      <c r="D50" s="1" t="s">
        <v>173</v>
      </c>
      <c r="E50" s="1" t="s">
        <v>583</v>
      </c>
      <c r="F50" s="1" t="s">
        <v>243</v>
      </c>
      <c r="G50" s="1" t="s">
        <v>207</v>
      </c>
      <c r="H50" s="1" t="s">
        <v>670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
  <sheetViews>
    <sheetView workbookViewId="0">
      <selection activeCell="A5" sqref="A5:B5"/>
    </sheetView>
  </sheetViews>
  <sheetFormatPr baseColWidth="10" defaultColWidth="8.83203125" defaultRowHeight="15" x14ac:dyDescent="0.2"/>
  <cols>
    <col min="1" max="1" width="10.1640625" style="1" bestFit="1" customWidth="1"/>
    <col min="2" max="2" width="8.83203125" style="1"/>
    <col min="3" max="3" width="11.1640625" style="1" bestFit="1" customWidth="1"/>
    <col min="4" max="4" width="11.83203125" style="1" bestFit="1" customWidth="1"/>
    <col min="5" max="5" width="15.83203125" style="1" bestFit="1" customWidth="1"/>
    <col min="6" max="6" width="20" style="1" bestFit="1" customWidth="1"/>
    <col min="7" max="16384" width="8.83203125" style="1"/>
  </cols>
  <sheetData>
    <row r="1" spans="1:11" x14ac:dyDescent="0.2">
      <c r="A1" s="2" t="s">
        <v>0</v>
      </c>
      <c r="B1" s="2" t="s">
        <v>2</v>
      </c>
      <c r="C1" s="2" t="s">
        <v>24</v>
      </c>
      <c r="D1" s="2" t="s">
        <v>116</v>
      </c>
      <c r="E1" s="2" t="s">
        <v>21</v>
      </c>
      <c r="F1" s="2" t="s">
        <v>117</v>
      </c>
      <c r="G1" s="2" t="s">
        <v>98</v>
      </c>
      <c r="H1" s="2" t="s">
        <v>118</v>
      </c>
      <c r="I1" s="2" t="s">
        <v>22</v>
      </c>
      <c r="J1" s="2" t="s">
        <v>23</v>
      </c>
      <c r="K1" s="2" t="s">
        <v>85</v>
      </c>
    </row>
    <row r="2" spans="1:11" x14ac:dyDescent="0.2">
      <c r="A2" s="1" t="s">
        <v>170</v>
      </c>
      <c r="B2" s="1">
        <v>2004</v>
      </c>
      <c r="C2" s="1" t="s">
        <v>173</v>
      </c>
      <c r="D2" s="1" t="s">
        <v>463</v>
      </c>
      <c r="G2" s="1" t="s">
        <v>464</v>
      </c>
      <c r="H2" s="1" t="s">
        <v>465</v>
      </c>
      <c r="I2" s="1">
        <v>2002</v>
      </c>
      <c r="J2" s="1">
        <v>2007</v>
      </c>
      <c r="K2" s="1" t="s">
        <v>466</v>
      </c>
    </row>
    <row r="3" spans="1:11" x14ac:dyDescent="0.2">
      <c r="A3" s="1" t="s">
        <v>170</v>
      </c>
      <c r="B3" s="1">
        <v>2009</v>
      </c>
      <c r="C3" s="1" t="s">
        <v>173</v>
      </c>
      <c r="D3" s="1" t="s">
        <v>463</v>
      </c>
      <c r="G3" s="1" t="s">
        <v>464</v>
      </c>
      <c r="H3" s="1" t="s">
        <v>465</v>
      </c>
      <c r="I3" s="1">
        <v>2002</v>
      </c>
      <c r="J3" s="1">
        <v>2007</v>
      </c>
    </row>
    <row r="4" spans="1:11" x14ac:dyDescent="0.2">
      <c r="A4" s="1" t="s">
        <v>170</v>
      </c>
      <c r="B4" s="1">
        <v>2009</v>
      </c>
      <c r="C4" s="1" t="s">
        <v>173</v>
      </c>
      <c r="D4" s="1" t="s">
        <v>463</v>
      </c>
      <c r="G4" s="1" t="s">
        <v>464</v>
      </c>
      <c r="H4" s="1" t="s">
        <v>465</v>
      </c>
      <c r="I4" s="1">
        <v>2002</v>
      </c>
      <c r="J4" s="1">
        <v>2007</v>
      </c>
      <c r="K4" s="1" t="s">
        <v>669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
  <sheetViews>
    <sheetView workbookViewId="0">
      <selection activeCell="C10" sqref="C10"/>
    </sheetView>
  </sheetViews>
  <sheetFormatPr baseColWidth="10" defaultColWidth="8.83203125" defaultRowHeight="15" x14ac:dyDescent="0.2"/>
  <cols>
    <col min="1" max="6" width="8.83203125" style="1"/>
    <col min="7" max="7" width="10.1640625" style="1" bestFit="1" customWidth="1"/>
    <col min="8" max="16384" width="8.83203125" style="1"/>
  </cols>
  <sheetData>
    <row r="1" spans="1:13" x14ac:dyDescent="0.2">
      <c r="A1" s="2" t="s">
        <v>0</v>
      </c>
      <c r="B1" s="2" t="s">
        <v>27</v>
      </c>
      <c r="C1" s="2" t="s">
        <v>2</v>
      </c>
      <c r="D1" s="4" t="s">
        <v>26</v>
      </c>
      <c r="E1" s="4" t="s">
        <v>119</v>
      </c>
      <c r="F1" s="4" t="s">
        <v>120</v>
      </c>
      <c r="G1" s="4" t="s">
        <v>28</v>
      </c>
      <c r="H1" s="4" t="s">
        <v>121</v>
      </c>
      <c r="I1" s="4" t="s">
        <v>122</v>
      </c>
      <c r="J1" s="4" t="s">
        <v>147</v>
      </c>
      <c r="K1" s="4" t="s">
        <v>29</v>
      </c>
      <c r="L1" s="4" t="s">
        <v>30</v>
      </c>
      <c r="M1" s="4" t="s">
        <v>85</v>
      </c>
    </row>
    <row r="2" spans="1:13" x14ac:dyDescent="0.2">
      <c r="A2" s="1" t="s">
        <v>170</v>
      </c>
      <c r="B2" s="1" t="s">
        <v>172</v>
      </c>
      <c r="C2" s="1">
        <v>1990</v>
      </c>
      <c r="D2" s="1" t="s">
        <v>232</v>
      </c>
      <c r="E2" s="1" t="s">
        <v>233</v>
      </c>
      <c r="F2" s="1" t="s">
        <v>387</v>
      </c>
      <c r="G2" s="1">
        <v>1960</v>
      </c>
      <c r="H2" s="1">
        <v>1991</v>
      </c>
      <c r="I2" s="1">
        <v>12</v>
      </c>
      <c r="M2" s="1" t="s">
        <v>234</v>
      </c>
    </row>
    <row r="3" spans="1:13" x14ac:dyDescent="0.2">
      <c r="A3" s="1" t="s">
        <v>170</v>
      </c>
      <c r="B3" s="1" t="s">
        <v>172</v>
      </c>
      <c r="C3" s="1">
        <v>1995</v>
      </c>
      <c r="D3" s="1" t="s">
        <v>232</v>
      </c>
      <c r="E3" s="1" t="s">
        <v>233</v>
      </c>
      <c r="F3" s="1" t="s">
        <v>387</v>
      </c>
      <c r="G3" s="1">
        <v>1960</v>
      </c>
      <c r="H3" s="1">
        <v>1991</v>
      </c>
      <c r="I3" s="1">
        <v>12</v>
      </c>
      <c r="M3" s="1" t="s">
        <v>388</v>
      </c>
    </row>
    <row r="4" spans="1:13" x14ac:dyDescent="0.2">
      <c r="A4" s="1" t="s">
        <v>170</v>
      </c>
      <c r="B4" s="1" t="s">
        <v>172</v>
      </c>
      <c r="C4" s="1">
        <v>1998</v>
      </c>
      <c r="D4" s="1" t="s">
        <v>232</v>
      </c>
      <c r="E4" s="1" t="s">
        <v>233</v>
      </c>
      <c r="F4" s="1" t="s">
        <v>387</v>
      </c>
      <c r="G4" s="1">
        <v>1960</v>
      </c>
      <c r="H4" s="1">
        <v>1991</v>
      </c>
      <c r="I4" s="1">
        <v>12</v>
      </c>
    </row>
    <row r="5" spans="1:13" x14ac:dyDescent="0.2">
      <c r="A5" s="1" t="s">
        <v>170</v>
      </c>
      <c r="B5" s="1" t="s">
        <v>172</v>
      </c>
      <c r="C5" s="1">
        <v>2003</v>
      </c>
      <c r="D5" s="1" t="s">
        <v>232</v>
      </c>
      <c r="E5" s="1" t="s">
        <v>233</v>
      </c>
      <c r="F5" s="1" t="s">
        <v>387</v>
      </c>
      <c r="G5" s="1">
        <v>1960</v>
      </c>
      <c r="H5" s="1">
        <v>1991</v>
      </c>
      <c r="I5" s="1">
        <v>12</v>
      </c>
    </row>
    <row r="6" spans="1:13" x14ac:dyDescent="0.2">
      <c r="A6" s="1" t="s">
        <v>170</v>
      </c>
      <c r="B6" s="1" t="s">
        <v>172</v>
      </c>
      <c r="C6" s="1">
        <v>2004</v>
      </c>
      <c r="D6" s="1" t="s">
        <v>232</v>
      </c>
      <c r="E6" s="1" t="s">
        <v>233</v>
      </c>
      <c r="F6" s="1" t="s">
        <v>387</v>
      </c>
      <c r="G6" s="1">
        <v>1960</v>
      </c>
      <c r="H6" s="1">
        <v>1991</v>
      </c>
      <c r="I6" s="1">
        <v>12</v>
      </c>
    </row>
    <row r="7" spans="1:13" x14ac:dyDescent="0.2">
      <c r="A7" s="1" t="s">
        <v>170</v>
      </c>
      <c r="B7" s="1" t="s">
        <v>172</v>
      </c>
      <c r="C7" s="1">
        <v>2009</v>
      </c>
      <c r="D7" s="1" t="s">
        <v>232</v>
      </c>
      <c r="E7" s="1" t="s">
        <v>233</v>
      </c>
      <c r="F7" s="1" t="s">
        <v>387</v>
      </c>
      <c r="G7" s="1">
        <v>1960</v>
      </c>
      <c r="H7" s="1">
        <v>1991</v>
      </c>
      <c r="I7" s="1">
        <v>12</v>
      </c>
    </row>
    <row r="8" spans="1:13" x14ac:dyDescent="0.2">
      <c r="A8" s="1" t="s">
        <v>170</v>
      </c>
      <c r="B8" s="1" t="s">
        <v>172</v>
      </c>
      <c r="C8" s="1">
        <v>2012</v>
      </c>
      <c r="D8" s="1" t="s">
        <v>232</v>
      </c>
      <c r="E8" s="1" t="s">
        <v>233</v>
      </c>
      <c r="F8" s="1" t="s">
        <v>387</v>
      </c>
      <c r="G8" s="1">
        <v>1960</v>
      </c>
      <c r="H8" s="1">
        <v>1991</v>
      </c>
      <c r="I8" s="1">
        <v>12</v>
      </c>
    </row>
    <row r="9" spans="1:13" x14ac:dyDescent="0.2">
      <c r="A9" s="1" t="s">
        <v>170</v>
      </c>
      <c r="B9" s="1" t="s">
        <v>172</v>
      </c>
      <c r="C9" s="1">
        <v>2016</v>
      </c>
      <c r="D9" s="1" t="s">
        <v>232</v>
      </c>
      <c r="E9" s="1" t="s">
        <v>233</v>
      </c>
      <c r="F9" s="1" t="s">
        <v>387</v>
      </c>
      <c r="G9" s="1">
        <v>1960</v>
      </c>
      <c r="H9" s="1">
        <v>1991</v>
      </c>
      <c r="I9" s="1">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87"/>
  <sheetViews>
    <sheetView workbookViewId="0">
      <pane ySplit="1" topLeftCell="A259" activePane="bottomLeft" state="frozen"/>
      <selection pane="bottomLeft" activeCell="I295" sqref="I295"/>
    </sheetView>
  </sheetViews>
  <sheetFormatPr baseColWidth="10" defaultColWidth="8.83203125" defaultRowHeight="15" x14ac:dyDescent="0.2"/>
  <cols>
    <col min="1" max="1" width="13.5" style="1" customWidth="1"/>
    <col min="2" max="5" width="8.83203125" style="1"/>
    <col min="6" max="6" width="23.83203125" style="1" bestFit="1" customWidth="1"/>
    <col min="7" max="16384" width="8.83203125" style="1"/>
  </cols>
  <sheetData>
    <row r="1" spans="1:10" x14ac:dyDescent="0.2">
      <c r="A1" s="2" t="s">
        <v>0</v>
      </c>
      <c r="B1" s="2" t="s">
        <v>27</v>
      </c>
      <c r="C1" s="2" t="s">
        <v>2</v>
      </c>
      <c r="D1" s="2" t="s">
        <v>24</v>
      </c>
      <c r="E1" s="4" t="s">
        <v>123</v>
      </c>
      <c r="F1" s="4" t="s">
        <v>124</v>
      </c>
      <c r="G1" s="2" t="s">
        <v>125</v>
      </c>
      <c r="H1" s="4" t="s">
        <v>99</v>
      </c>
      <c r="I1" s="4" t="s">
        <v>25</v>
      </c>
      <c r="J1" s="4" t="s">
        <v>85</v>
      </c>
    </row>
    <row r="2" spans="1:10" x14ac:dyDescent="0.2">
      <c r="A2" s="1" t="s">
        <v>170</v>
      </c>
      <c r="B2" s="1" t="s">
        <v>172</v>
      </c>
      <c r="C2" s="1">
        <v>1990</v>
      </c>
      <c r="D2" s="1" t="s">
        <v>173</v>
      </c>
      <c r="E2" s="1" t="s">
        <v>216</v>
      </c>
      <c r="F2" s="1" t="s">
        <v>217</v>
      </c>
      <c r="G2" s="1" t="s">
        <v>176</v>
      </c>
      <c r="H2" s="1">
        <v>1990</v>
      </c>
      <c r="I2" s="1">
        <f>10046-2755</f>
        <v>7291</v>
      </c>
    </row>
    <row r="3" spans="1:10" x14ac:dyDescent="0.2">
      <c r="A3" s="1" t="s">
        <v>170</v>
      </c>
      <c r="B3" s="1" t="s">
        <v>172</v>
      </c>
      <c r="C3" s="1">
        <v>1990</v>
      </c>
      <c r="D3" s="1" t="s">
        <v>173</v>
      </c>
      <c r="E3" s="1" t="s">
        <v>216</v>
      </c>
      <c r="F3" s="1" t="s">
        <v>218</v>
      </c>
      <c r="G3" s="1" t="s">
        <v>176</v>
      </c>
      <c r="H3" s="1">
        <v>1990</v>
      </c>
      <c r="I3" s="1">
        <v>2755</v>
      </c>
    </row>
    <row r="4" spans="1:10" x14ac:dyDescent="0.2">
      <c r="A4" s="1" t="s">
        <v>170</v>
      </c>
      <c r="B4" s="1" t="s">
        <v>172</v>
      </c>
      <c r="C4" s="1">
        <v>1990</v>
      </c>
      <c r="D4" s="1" t="s">
        <v>173</v>
      </c>
      <c r="E4" s="1" t="s">
        <v>219</v>
      </c>
      <c r="F4" s="1" t="s">
        <v>219</v>
      </c>
      <c r="G4" s="1" t="s">
        <v>176</v>
      </c>
      <c r="H4" s="1">
        <v>1990</v>
      </c>
      <c r="I4" s="1">
        <v>10046</v>
      </c>
    </row>
    <row r="5" spans="1:10" x14ac:dyDescent="0.2">
      <c r="A5" s="1" t="s">
        <v>170</v>
      </c>
      <c r="B5" s="1" t="s">
        <v>172</v>
      </c>
      <c r="C5" s="1">
        <v>1990</v>
      </c>
      <c r="D5" s="1" t="s">
        <v>173</v>
      </c>
      <c r="E5" s="1" t="s">
        <v>214</v>
      </c>
      <c r="F5" s="1" t="s">
        <v>215</v>
      </c>
      <c r="G5" s="1" t="s">
        <v>176</v>
      </c>
      <c r="H5" s="1">
        <v>1990</v>
      </c>
      <c r="I5" s="1">
        <f>INT(10046*0.87)</f>
        <v>8740</v>
      </c>
      <c r="J5" s="1" t="s">
        <v>220</v>
      </c>
    </row>
    <row r="6" spans="1:10" x14ac:dyDescent="0.2">
      <c r="A6" s="1" t="s">
        <v>170</v>
      </c>
      <c r="B6" s="1" t="s">
        <v>172</v>
      </c>
      <c r="C6" s="1">
        <v>1990</v>
      </c>
      <c r="D6" s="1" t="s">
        <v>173</v>
      </c>
      <c r="E6" s="1" t="s">
        <v>214</v>
      </c>
      <c r="F6" s="1" t="s">
        <v>225</v>
      </c>
      <c r="G6" s="1" t="s">
        <v>176</v>
      </c>
      <c r="H6" s="1">
        <v>1990</v>
      </c>
      <c r="I6" s="1">
        <f>INT(10046*0.11)</f>
        <v>1105</v>
      </c>
      <c r="J6" s="1" t="s">
        <v>226</v>
      </c>
    </row>
    <row r="7" spans="1:10" x14ac:dyDescent="0.2">
      <c r="A7" s="1" t="s">
        <v>170</v>
      </c>
      <c r="B7" s="1" t="s">
        <v>172</v>
      </c>
      <c r="C7" s="1">
        <v>1990</v>
      </c>
      <c r="D7" s="1" t="s">
        <v>173</v>
      </c>
      <c r="E7" s="1" t="s">
        <v>214</v>
      </c>
      <c r="F7" s="1" t="s">
        <v>228</v>
      </c>
      <c r="G7" s="1" t="s">
        <v>176</v>
      </c>
      <c r="H7" s="1">
        <v>1990</v>
      </c>
      <c r="I7" s="1">
        <f>INT(10046*0.01)</f>
        <v>100</v>
      </c>
      <c r="J7" s="1" t="s">
        <v>227</v>
      </c>
    </row>
    <row r="8" spans="1:10" x14ac:dyDescent="0.2">
      <c r="A8" s="1" t="s">
        <v>170</v>
      </c>
      <c r="B8" s="1" t="s">
        <v>172</v>
      </c>
      <c r="C8" s="1">
        <v>1990</v>
      </c>
      <c r="D8" s="1" t="s">
        <v>173</v>
      </c>
      <c r="E8" s="1" t="s">
        <v>214</v>
      </c>
      <c r="F8" s="1" t="s">
        <v>229</v>
      </c>
      <c r="G8" s="1" t="s">
        <v>176</v>
      </c>
      <c r="H8" s="1">
        <v>1990</v>
      </c>
      <c r="I8" s="1">
        <f>10046-8740-1105-100</f>
        <v>101</v>
      </c>
      <c r="J8" s="1" t="s">
        <v>230</v>
      </c>
    </row>
    <row r="9" spans="1:10" x14ac:dyDescent="0.2">
      <c r="A9" s="1" t="s">
        <v>170</v>
      </c>
      <c r="B9" s="1" t="s">
        <v>172</v>
      </c>
      <c r="C9" s="1">
        <v>1990</v>
      </c>
      <c r="D9" s="1" t="s">
        <v>173</v>
      </c>
      <c r="E9" s="1" t="s">
        <v>216</v>
      </c>
      <c r="F9" s="1" t="s">
        <v>239</v>
      </c>
      <c r="G9" s="1" t="s">
        <v>176</v>
      </c>
      <c r="H9" s="1">
        <v>1984</v>
      </c>
      <c r="I9" s="1">
        <v>7059</v>
      </c>
    </row>
    <row r="10" spans="1:10" x14ac:dyDescent="0.2">
      <c r="A10" s="1" t="s">
        <v>170</v>
      </c>
      <c r="B10" s="1" t="s">
        <v>172</v>
      </c>
      <c r="C10" s="1">
        <v>1990</v>
      </c>
      <c r="D10" s="1" t="s">
        <v>173</v>
      </c>
      <c r="E10" s="1" t="s">
        <v>216</v>
      </c>
      <c r="F10" s="1" t="s">
        <v>238</v>
      </c>
      <c r="G10" s="1" t="s">
        <v>176</v>
      </c>
      <c r="H10" s="1">
        <v>1984</v>
      </c>
      <c r="I10" s="1">
        <v>30</v>
      </c>
    </row>
    <row r="11" spans="1:10" x14ac:dyDescent="0.2">
      <c r="A11" s="1" t="s">
        <v>170</v>
      </c>
      <c r="B11" s="1" t="s">
        <v>172</v>
      </c>
      <c r="C11" s="1">
        <v>1990</v>
      </c>
      <c r="D11" s="1" t="s">
        <v>173</v>
      </c>
      <c r="E11" s="1" t="s">
        <v>216</v>
      </c>
      <c r="F11" s="1" t="s">
        <v>240</v>
      </c>
      <c r="G11" s="1" t="s">
        <v>176</v>
      </c>
      <c r="H11" s="1">
        <v>1984</v>
      </c>
      <c r="I11" s="1">
        <v>601</v>
      </c>
    </row>
    <row r="12" spans="1:10" x14ac:dyDescent="0.2">
      <c r="A12" s="1" t="s">
        <v>170</v>
      </c>
      <c r="B12" s="1" t="s">
        <v>172</v>
      </c>
      <c r="C12" s="1">
        <v>1990</v>
      </c>
      <c r="D12" s="1" t="s">
        <v>173</v>
      </c>
      <c r="E12" s="1" t="s">
        <v>216</v>
      </c>
      <c r="F12" s="1" t="s">
        <v>205</v>
      </c>
      <c r="G12" s="1" t="s">
        <v>176</v>
      </c>
      <c r="H12" s="1">
        <v>1984</v>
      </c>
      <c r="I12" s="1">
        <v>68</v>
      </c>
    </row>
    <row r="13" spans="1:10" x14ac:dyDescent="0.2">
      <c r="A13" s="1" t="s">
        <v>170</v>
      </c>
      <c r="B13" s="1" t="s">
        <v>172</v>
      </c>
      <c r="C13" s="1">
        <v>1990</v>
      </c>
      <c r="D13" s="1" t="s">
        <v>173</v>
      </c>
      <c r="E13" s="1" t="s">
        <v>216</v>
      </c>
      <c r="F13" s="1" t="s">
        <v>241</v>
      </c>
      <c r="G13" s="1" t="s">
        <v>176</v>
      </c>
      <c r="H13" s="1">
        <v>1984</v>
      </c>
      <c r="I13" s="1">
        <v>586</v>
      </c>
    </row>
    <row r="14" spans="1:10" x14ac:dyDescent="0.2">
      <c r="A14" s="1" t="s">
        <v>170</v>
      </c>
      <c r="B14" s="1" t="s">
        <v>172</v>
      </c>
      <c r="C14" s="1">
        <v>1990</v>
      </c>
      <c r="D14" s="1" t="s">
        <v>173</v>
      </c>
      <c r="E14" s="1" t="s">
        <v>216</v>
      </c>
      <c r="F14" s="1" t="s">
        <v>242</v>
      </c>
      <c r="G14" s="1" t="s">
        <v>176</v>
      </c>
      <c r="H14" s="1">
        <v>1984</v>
      </c>
      <c r="I14" s="1">
        <v>1</v>
      </c>
    </row>
    <row r="15" spans="1:10" x14ac:dyDescent="0.2">
      <c r="A15" s="1" t="s">
        <v>170</v>
      </c>
      <c r="B15" s="1" t="s">
        <v>172</v>
      </c>
      <c r="C15" s="1">
        <v>1990</v>
      </c>
      <c r="D15" s="1" t="s">
        <v>173</v>
      </c>
      <c r="E15" s="1" t="s">
        <v>216</v>
      </c>
      <c r="F15" s="1" t="s">
        <v>243</v>
      </c>
      <c r="G15" s="1" t="s">
        <v>176</v>
      </c>
      <c r="H15" s="1">
        <v>1984</v>
      </c>
      <c r="I15" s="1">
        <v>1</v>
      </c>
    </row>
    <row r="16" spans="1:10" x14ac:dyDescent="0.2">
      <c r="A16" s="1" t="s">
        <v>170</v>
      </c>
      <c r="B16" s="1" t="s">
        <v>172</v>
      </c>
      <c r="C16" s="1">
        <v>1990</v>
      </c>
      <c r="D16" s="1" t="s">
        <v>173</v>
      </c>
      <c r="E16" s="1" t="s">
        <v>219</v>
      </c>
      <c r="F16" s="1" t="s">
        <v>219</v>
      </c>
      <c r="G16" s="1" t="s">
        <v>176</v>
      </c>
      <c r="H16" s="1">
        <v>1984</v>
      </c>
      <c r="I16" s="1">
        <v>9346</v>
      </c>
    </row>
    <row r="17" spans="1:9" x14ac:dyDescent="0.2">
      <c r="A17" s="1" t="s">
        <v>170</v>
      </c>
      <c r="B17" s="1" t="s">
        <v>172</v>
      </c>
      <c r="C17" s="1">
        <v>1990</v>
      </c>
      <c r="D17" s="1" t="s">
        <v>173</v>
      </c>
      <c r="E17" s="1" t="s">
        <v>216</v>
      </c>
      <c r="F17" s="1" t="s">
        <v>239</v>
      </c>
      <c r="G17" s="1" t="s">
        <v>176</v>
      </c>
      <c r="H17" s="1">
        <v>1985</v>
      </c>
      <c r="I17" s="1">
        <v>7059</v>
      </c>
    </row>
    <row r="18" spans="1:9" x14ac:dyDescent="0.2">
      <c r="A18" s="1" t="s">
        <v>170</v>
      </c>
      <c r="B18" s="1" t="s">
        <v>172</v>
      </c>
      <c r="C18" s="1">
        <v>1990</v>
      </c>
      <c r="D18" s="1" t="s">
        <v>173</v>
      </c>
      <c r="E18" s="1" t="s">
        <v>216</v>
      </c>
      <c r="F18" s="1" t="s">
        <v>238</v>
      </c>
      <c r="G18" s="1" t="s">
        <v>176</v>
      </c>
      <c r="H18" s="1">
        <v>1985</v>
      </c>
      <c r="I18" s="1">
        <v>30</v>
      </c>
    </row>
    <row r="19" spans="1:9" x14ac:dyDescent="0.2">
      <c r="A19" s="1" t="s">
        <v>170</v>
      </c>
      <c r="B19" s="1" t="s">
        <v>172</v>
      </c>
      <c r="C19" s="1">
        <v>1990</v>
      </c>
      <c r="D19" s="1" t="s">
        <v>173</v>
      </c>
      <c r="E19" s="1" t="s">
        <v>216</v>
      </c>
      <c r="F19" s="1" t="s">
        <v>240</v>
      </c>
      <c r="G19" s="1" t="s">
        <v>176</v>
      </c>
      <c r="H19" s="1">
        <v>1985</v>
      </c>
      <c r="I19" s="1">
        <v>637</v>
      </c>
    </row>
    <row r="20" spans="1:9" x14ac:dyDescent="0.2">
      <c r="A20" s="1" t="s">
        <v>170</v>
      </c>
      <c r="B20" s="1" t="s">
        <v>172</v>
      </c>
      <c r="C20" s="1">
        <v>1990</v>
      </c>
      <c r="D20" s="1" t="s">
        <v>173</v>
      </c>
      <c r="E20" s="1" t="s">
        <v>216</v>
      </c>
      <c r="F20" s="1" t="s">
        <v>205</v>
      </c>
      <c r="G20" s="1" t="s">
        <v>176</v>
      </c>
      <c r="H20" s="1">
        <v>1985</v>
      </c>
      <c r="I20" s="1">
        <v>1068</v>
      </c>
    </row>
    <row r="21" spans="1:9" x14ac:dyDescent="0.2">
      <c r="A21" s="1" t="s">
        <v>170</v>
      </c>
      <c r="B21" s="1" t="s">
        <v>172</v>
      </c>
      <c r="C21" s="1">
        <v>1990</v>
      </c>
      <c r="D21" s="1" t="s">
        <v>173</v>
      </c>
      <c r="E21" s="1" t="s">
        <v>216</v>
      </c>
      <c r="F21" s="1" t="s">
        <v>241</v>
      </c>
      <c r="G21" s="1" t="s">
        <v>176</v>
      </c>
      <c r="H21" s="1">
        <v>1985</v>
      </c>
      <c r="I21" s="1">
        <v>600</v>
      </c>
    </row>
    <row r="22" spans="1:9" x14ac:dyDescent="0.2">
      <c r="A22" s="1" t="s">
        <v>170</v>
      </c>
      <c r="B22" s="1" t="s">
        <v>172</v>
      </c>
      <c r="C22" s="1">
        <v>1990</v>
      </c>
      <c r="D22" s="1" t="s">
        <v>173</v>
      </c>
      <c r="E22" s="1" t="s">
        <v>216</v>
      </c>
      <c r="F22" s="1" t="s">
        <v>242</v>
      </c>
      <c r="G22" s="1" t="s">
        <v>176</v>
      </c>
      <c r="H22" s="1">
        <v>1985</v>
      </c>
      <c r="I22" s="1">
        <v>1</v>
      </c>
    </row>
    <row r="23" spans="1:9" x14ac:dyDescent="0.2">
      <c r="A23" s="1" t="s">
        <v>170</v>
      </c>
      <c r="B23" s="1" t="s">
        <v>172</v>
      </c>
      <c r="C23" s="1">
        <v>1990</v>
      </c>
      <c r="D23" s="1" t="s">
        <v>173</v>
      </c>
      <c r="E23" s="1" t="s">
        <v>216</v>
      </c>
      <c r="F23" s="1" t="s">
        <v>243</v>
      </c>
      <c r="G23" s="1" t="s">
        <v>176</v>
      </c>
      <c r="H23" s="1">
        <v>1985</v>
      </c>
      <c r="I23" s="1">
        <v>1</v>
      </c>
    </row>
    <row r="24" spans="1:9" x14ac:dyDescent="0.2">
      <c r="A24" s="1" t="s">
        <v>170</v>
      </c>
      <c r="B24" s="1" t="s">
        <v>172</v>
      </c>
      <c r="C24" s="1">
        <v>1990</v>
      </c>
      <c r="D24" s="1" t="s">
        <v>173</v>
      </c>
      <c r="E24" s="1" t="s">
        <v>219</v>
      </c>
      <c r="F24" s="1" t="s">
        <v>219</v>
      </c>
      <c r="G24" s="1" t="s">
        <v>176</v>
      </c>
      <c r="H24" s="1">
        <v>1985</v>
      </c>
      <c r="I24" s="1">
        <v>9396</v>
      </c>
    </row>
    <row r="25" spans="1:9" x14ac:dyDescent="0.2">
      <c r="A25" s="1" t="s">
        <v>170</v>
      </c>
      <c r="B25" s="1" t="s">
        <v>172</v>
      </c>
      <c r="C25" s="1">
        <v>1990</v>
      </c>
      <c r="D25" s="1" t="s">
        <v>173</v>
      </c>
      <c r="E25" s="1" t="s">
        <v>216</v>
      </c>
      <c r="F25" s="1" t="s">
        <v>239</v>
      </c>
      <c r="G25" s="1" t="s">
        <v>176</v>
      </c>
      <c r="H25" s="1">
        <v>1986</v>
      </c>
      <c r="I25" s="1">
        <v>7114</v>
      </c>
    </row>
    <row r="26" spans="1:9" x14ac:dyDescent="0.2">
      <c r="A26" s="1" t="s">
        <v>170</v>
      </c>
      <c r="B26" s="1" t="s">
        <v>172</v>
      </c>
      <c r="C26" s="1">
        <v>1990</v>
      </c>
      <c r="D26" s="1" t="s">
        <v>173</v>
      </c>
      <c r="E26" s="1" t="s">
        <v>216</v>
      </c>
      <c r="F26" s="1" t="s">
        <v>238</v>
      </c>
      <c r="G26" s="1" t="s">
        <v>176</v>
      </c>
      <c r="H26" s="1">
        <v>1986</v>
      </c>
      <c r="I26" s="1">
        <v>32</v>
      </c>
    </row>
    <row r="27" spans="1:9" x14ac:dyDescent="0.2">
      <c r="A27" s="1" t="s">
        <v>170</v>
      </c>
      <c r="B27" s="1" t="s">
        <v>172</v>
      </c>
      <c r="C27" s="1">
        <v>1990</v>
      </c>
      <c r="D27" s="1" t="s">
        <v>173</v>
      </c>
      <c r="E27" s="1" t="s">
        <v>216</v>
      </c>
      <c r="F27" s="1" t="s">
        <v>240</v>
      </c>
      <c r="G27" s="1" t="s">
        <v>176</v>
      </c>
      <c r="H27" s="1">
        <v>1986</v>
      </c>
      <c r="I27" s="1">
        <v>640</v>
      </c>
    </row>
    <row r="28" spans="1:9" x14ac:dyDescent="0.2">
      <c r="A28" s="1" t="s">
        <v>170</v>
      </c>
      <c r="B28" s="1" t="s">
        <v>172</v>
      </c>
      <c r="C28" s="1">
        <v>1990</v>
      </c>
      <c r="D28" s="1" t="s">
        <v>173</v>
      </c>
      <c r="E28" s="1" t="s">
        <v>216</v>
      </c>
      <c r="F28" s="1" t="s">
        <v>205</v>
      </c>
      <c r="G28" s="1" t="s">
        <v>176</v>
      </c>
      <c r="H28" s="1">
        <v>1986</v>
      </c>
      <c r="I28" s="1">
        <v>1084</v>
      </c>
    </row>
    <row r="29" spans="1:9" x14ac:dyDescent="0.2">
      <c r="A29" s="1" t="s">
        <v>170</v>
      </c>
      <c r="B29" s="1" t="s">
        <v>172</v>
      </c>
      <c r="C29" s="1">
        <v>1990</v>
      </c>
      <c r="D29" s="1" t="s">
        <v>173</v>
      </c>
      <c r="E29" s="1" t="s">
        <v>216</v>
      </c>
      <c r="F29" s="1" t="s">
        <v>241</v>
      </c>
      <c r="G29" s="1" t="s">
        <v>176</v>
      </c>
      <c r="H29" s="1">
        <v>1986</v>
      </c>
      <c r="I29" s="1">
        <v>606</v>
      </c>
    </row>
    <row r="30" spans="1:9" x14ac:dyDescent="0.2">
      <c r="A30" s="1" t="s">
        <v>170</v>
      </c>
      <c r="B30" s="1" t="s">
        <v>172</v>
      </c>
      <c r="C30" s="1">
        <v>1990</v>
      </c>
      <c r="D30" s="1" t="s">
        <v>173</v>
      </c>
      <c r="E30" s="1" t="s">
        <v>216</v>
      </c>
      <c r="F30" s="1" t="s">
        <v>242</v>
      </c>
      <c r="G30" s="1" t="s">
        <v>176</v>
      </c>
      <c r="H30" s="1">
        <v>1986</v>
      </c>
      <c r="I30" s="1">
        <v>1</v>
      </c>
    </row>
    <row r="31" spans="1:9" x14ac:dyDescent="0.2">
      <c r="A31" s="1" t="s">
        <v>170</v>
      </c>
      <c r="B31" s="1" t="s">
        <v>172</v>
      </c>
      <c r="C31" s="1">
        <v>1990</v>
      </c>
      <c r="D31" s="1" t="s">
        <v>173</v>
      </c>
      <c r="E31" s="1" t="s">
        <v>216</v>
      </c>
      <c r="F31" s="1" t="s">
        <v>243</v>
      </c>
      <c r="G31" s="1" t="s">
        <v>176</v>
      </c>
      <c r="H31" s="1">
        <v>1986</v>
      </c>
      <c r="I31" s="1">
        <v>1</v>
      </c>
    </row>
    <row r="32" spans="1:9" x14ac:dyDescent="0.2">
      <c r="A32" s="1" t="s">
        <v>170</v>
      </c>
      <c r="B32" s="1" t="s">
        <v>172</v>
      </c>
      <c r="C32" s="1">
        <v>1990</v>
      </c>
      <c r="D32" s="1" t="s">
        <v>173</v>
      </c>
      <c r="E32" s="1" t="s">
        <v>219</v>
      </c>
      <c r="F32" s="1" t="s">
        <v>219</v>
      </c>
      <c r="G32" s="1" t="s">
        <v>176</v>
      </c>
      <c r="H32" s="1">
        <v>1986</v>
      </c>
      <c r="I32" s="1">
        <v>9478</v>
      </c>
    </row>
    <row r="33" spans="1:9" x14ac:dyDescent="0.2">
      <c r="A33" s="1" t="s">
        <v>170</v>
      </c>
      <c r="B33" s="1" t="s">
        <v>172</v>
      </c>
      <c r="C33" s="1">
        <v>1990</v>
      </c>
      <c r="D33" s="1" t="s">
        <v>173</v>
      </c>
      <c r="E33" s="1" t="s">
        <v>216</v>
      </c>
      <c r="F33" s="1" t="s">
        <v>239</v>
      </c>
      <c r="G33" s="1" t="s">
        <v>176</v>
      </c>
      <c r="H33" s="1">
        <v>1987</v>
      </c>
      <c r="I33" s="1">
        <v>7162</v>
      </c>
    </row>
    <row r="34" spans="1:9" x14ac:dyDescent="0.2">
      <c r="A34" s="1" t="s">
        <v>170</v>
      </c>
      <c r="B34" s="1" t="s">
        <v>172</v>
      </c>
      <c r="C34" s="1">
        <v>1990</v>
      </c>
      <c r="D34" s="1" t="s">
        <v>173</v>
      </c>
      <c r="E34" s="1" t="s">
        <v>216</v>
      </c>
      <c r="F34" s="1" t="s">
        <v>238</v>
      </c>
      <c r="G34" s="1" t="s">
        <v>176</v>
      </c>
      <c r="H34" s="1">
        <v>1987</v>
      </c>
      <c r="I34" s="1">
        <v>51</v>
      </c>
    </row>
    <row r="35" spans="1:9" x14ac:dyDescent="0.2">
      <c r="A35" s="1" t="s">
        <v>170</v>
      </c>
      <c r="B35" s="1" t="s">
        <v>172</v>
      </c>
      <c r="C35" s="1">
        <v>1990</v>
      </c>
      <c r="D35" s="1" t="s">
        <v>173</v>
      </c>
      <c r="E35" s="1" t="s">
        <v>216</v>
      </c>
      <c r="F35" s="1" t="s">
        <v>240</v>
      </c>
      <c r="G35" s="1" t="s">
        <v>176</v>
      </c>
      <c r="H35" s="1">
        <v>1987</v>
      </c>
      <c r="I35" s="1">
        <v>649</v>
      </c>
    </row>
    <row r="36" spans="1:9" x14ac:dyDescent="0.2">
      <c r="A36" s="1" t="s">
        <v>170</v>
      </c>
      <c r="B36" s="1" t="s">
        <v>172</v>
      </c>
      <c r="C36" s="1">
        <v>1990</v>
      </c>
      <c r="D36" s="1" t="s">
        <v>173</v>
      </c>
      <c r="E36" s="1" t="s">
        <v>216</v>
      </c>
      <c r="F36" s="1" t="s">
        <v>205</v>
      </c>
      <c r="G36" s="1" t="s">
        <v>176</v>
      </c>
      <c r="H36" s="1">
        <v>1987</v>
      </c>
      <c r="I36" s="1">
        <v>1102</v>
      </c>
    </row>
    <row r="37" spans="1:9" x14ac:dyDescent="0.2">
      <c r="A37" s="1" t="s">
        <v>170</v>
      </c>
      <c r="B37" s="1" t="s">
        <v>172</v>
      </c>
      <c r="C37" s="1">
        <v>1990</v>
      </c>
      <c r="D37" s="1" t="s">
        <v>173</v>
      </c>
      <c r="E37" s="1" t="s">
        <v>216</v>
      </c>
      <c r="F37" s="1" t="s">
        <v>241</v>
      </c>
      <c r="G37" s="1" t="s">
        <v>176</v>
      </c>
      <c r="H37" s="1">
        <v>1987</v>
      </c>
      <c r="I37" s="1">
        <v>609</v>
      </c>
    </row>
    <row r="38" spans="1:9" x14ac:dyDescent="0.2">
      <c r="A38" s="1" t="s">
        <v>170</v>
      </c>
      <c r="B38" s="1" t="s">
        <v>172</v>
      </c>
      <c r="C38" s="1">
        <v>1990</v>
      </c>
      <c r="D38" s="1" t="s">
        <v>173</v>
      </c>
      <c r="E38" s="1" t="s">
        <v>216</v>
      </c>
      <c r="F38" s="1" t="s">
        <v>242</v>
      </c>
      <c r="G38" s="1" t="s">
        <v>176</v>
      </c>
      <c r="H38" s="1">
        <v>1987</v>
      </c>
      <c r="I38" s="1">
        <v>1</v>
      </c>
    </row>
    <row r="39" spans="1:9" x14ac:dyDescent="0.2">
      <c r="A39" s="1" t="s">
        <v>170</v>
      </c>
      <c r="B39" s="1" t="s">
        <v>172</v>
      </c>
      <c r="C39" s="1">
        <v>1990</v>
      </c>
      <c r="D39" s="1" t="s">
        <v>173</v>
      </c>
      <c r="E39" s="1" t="s">
        <v>216</v>
      </c>
      <c r="F39" s="1" t="s">
        <v>243</v>
      </c>
      <c r="G39" s="1" t="s">
        <v>176</v>
      </c>
      <c r="H39" s="1">
        <v>1987</v>
      </c>
      <c r="I39" s="1">
        <v>1</v>
      </c>
    </row>
    <row r="40" spans="1:9" x14ac:dyDescent="0.2">
      <c r="A40" s="1" t="s">
        <v>170</v>
      </c>
      <c r="B40" s="1" t="s">
        <v>172</v>
      </c>
      <c r="C40" s="1">
        <v>1990</v>
      </c>
      <c r="D40" s="1" t="s">
        <v>173</v>
      </c>
      <c r="E40" s="1" t="s">
        <v>219</v>
      </c>
      <c r="F40" s="1" t="s">
        <v>219</v>
      </c>
      <c r="G40" s="1" t="s">
        <v>176</v>
      </c>
      <c r="H40" s="1">
        <v>1987</v>
      </c>
      <c r="I40" s="1">
        <v>9575</v>
      </c>
    </row>
    <row r="41" spans="1:9" x14ac:dyDescent="0.2">
      <c r="A41" s="1" t="s">
        <v>170</v>
      </c>
      <c r="B41" s="1" t="s">
        <v>172</v>
      </c>
      <c r="C41" s="1">
        <v>1990</v>
      </c>
      <c r="D41" s="1" t="s">
        <v>173</v>
      </c>
      <c r="E41" s="1" t="s">
        <v>216</v>
      </c>
      <c r="F41" s="1" t="s">
        <v>239</v>
      </c>
      <c r="G41" s="1" t="s">
        <v>176</v>
      </c>
      <c r="H41" s="1">
        <v>1988</v>
      </c>
      <c r="I41" s="1">
        <v>7196</v>
      </c>
    </row>
    <row r="42" spans="1:9" x14ac:dyDescent="0.2">
      <c r="A42" s="1" t="s">
        <v>170</v>
      </c>
      <c r="B42" s="1" t="s">
        <v>172</v>
      </c>
      <c r="C42" s="1">
        <v>1990</v>
      </c>
      <c r="D42" s="1" t="s">
        <v>173</v>
      </c>
      <c r="E42" s="1" t="s">
        <v>216</v>
      </c>
      <c r="F42" s="1" t="s">
        <v>238</v>
      </c>
      <c r="G42" s="1" t="s">
        <v>176</v>
      </c>
      <c r="H42" s="1">
        <v>1988</v>
      </c>
      <c r="I42" s="1">
        <v>65</v>
      </c>
    </row>
    <row r="43" spans="1:9" x14ac:dyDescent="0.2">
      <c r="A43" s="1" t="s">
        <v>170</v>
      </c>
      <c r="B43" s="1" t="s">
        <v>172</v>
      </c>
      <c r="C43" s="1">
        <v>1990</v>
      </c>
      <c r="D43" s="1" t="s">
        <v>173</v>
      </c>
      <c r="E43" s="1" t="s">
        <v>216</v>
      </c>
      <c r="F43" s="1" t="s">
        <v>240</v>
      </c>
      <c r="G43" s="1" t="s">
        <v>176</v>
      </c>
      <c r="H43" s="1">
        <v>1988</v>
      </c>
      <c r="I43" s="1">
        <v>816</v>
      </c>
    </row>
    <row r="44" spans="1:9" x14ac:dyDescent="0.2">
      <c r="A44" s="1" t="s">
        <v>170</v>
      </c>
      <c r="B44" s="1" t="s">
        <v>172</v>
      </c>
      <c r="C44" s="1">
        <v>1990</v>
      </c>
      <c r="D44" s="1" t="s">
        <v>173</v>
      </c>
      <c r="E44" s="1" t="s">
        <v>216</v>
      </c>
      <c r="F44" s="1" t="s">
        <v>205</v>
      </c>
      <c r="G44" s="1" t="s">
        <v>176</v>
      </c>
      <c r="H44" s="1">
        <v>1988</v>
      </c>
      <c r="I44" s="1">
        <v>1125</v>
      </c>
    </row>
    <row r="45" spans="1:9" x14ac:dyDescent="0.2">
      <c r="A45" s="1" t="s">
        <v>170</v>
      </c>
      <c r="B45" s="1" t="s">
        <v>172</v>
      </c>
      <c r="C45" s="1">
        <v>1990</v>
      </c>
      <c r="D45" s="1" t="s">
        <v>173</v>
      </c>
      <c r="E45" s="1" t="s">
        <v>216</v>
      </c>
      <c r="F45" s="1" t="s">
        <v>241</v>
      </c>
      <c r="G45" s="1" t="s">
        <v>176</v>
      </c>
      <c r="H45" s="1">
        <v>1988</v>
      </c>
      <c r="I45" s="1">
        <v>614</v>
      </c>
    </row>
    <row r="46" spans="1:9" x14ac:dyDescent="0.2">
      <c r="A46" s="1" t="s">
        <v>170</v>
      </c>
      <c r="B46" s="1" t="s">
        <v>172</v>
      </c>
      <c r="C46" s="1">
        <v>1990</v>
      </c>
      <c r="D46" s="1" t="s">
        <v>173</v>
      </c>
      <c r="E46" s="1" t="s">
        <v>216</v>
      </c>
      <c r="F46" s="1" t="s">
        <v>242</v>
      </c>
      <c r="G46" s="1" t="s">
        <v>176</v>
      </c>
      <c r="H46" s="1">
        <v>1988</v>
      </c>
      <c r="I46" s="1">
        <v>1</v>
      </c>
    </row>
    <row r="47" spans="1:9" x14ac:dyDescent="0.2">
      <c r="A47" s="1" t="s">
        <v>170</v>
      </c>
      <c r="B47" s="1" t="s">
        <v>172</v>
      </c>
      <c r="C47" s="1">
        <v>1990</v>
      </c>
      <c r="D47" s="1" t="s">
        <v>173</v>
      </c>
      <c r="E47" s="1" t="s">
        <v>216</v>
      </c>
      <c r="F47" s="1" t="s">
        <v>243</v>
      </c>
      <c r="G47" s="1" t="s">
        <v>176</v>
      </c>
      <c r="H47" s="1">
        <v>1988</v>
      </c>
      <c r="I47" s="1">
        <v>1</v>
      </c>
    </row>
    <row r="48" spans="1:9" x14ac:dyDescent="0.2">
      <c r="A48" s="1" t="s">
        <v>170</v>
      </c>
      <c r="B48" s="1" t="s">
        <v>172</v>
      </c>
      <c r="C48" s="1">
        <v>1990</v>
      </c>
      <c r="D48" s="1" t="s">
        <v>173</v>
      </c>
      <c r="E48" s="1" t="s">
        <v>219</v>
      </c>
      <c r="F48" s="1" t="s">
        <v>219</v>
      </c>
      <c r="G48" s="1" t="s">
        <v>176</v>
      </c>
      <c r="H48" s="1">
        <v>1988</v>
      </c>
      <c r="I48" s="1">
        <v>9818</v>
      </c>
    </row>
    <row r="49" spans="1:9" x14ac:dyDescent="0.2">
      <c r="A49" s="1" t="s">
        <v>170</v>
      </c>
      <c r="B49" s="1" t="s">
        <v>172</v>
      </c>
      <c r="C49" s="1">
        <v>1990</v>
      </c>
      <c r="D49" s="1" t="s">
        <v>173</v>
      </c>
      <c r="E49" s="1" t="s">
        <v>216</v>
      </c>
      <c r="F49" s="1" t="s">
        <v>239</v>
      </c>
      <c r="G49" s="1" t="s">
        <v>176</v>
      </c>
      <c r="H49" s="1">
        <v>1989</v>
      </c>
      <c r="I49" s="1">
        <v>7254</v>
      </c>
    </row>
    <row r="50" spans="1:9" x14ac:dyDescent="0.2">
      <c r="A50" s="1" t="s">
        <v>170</v>
      </c>
      <c r="B50" s="1" t="s">
        <v>172</v>
      </c>
      <c r="C50" s="1">
        <v>1990</v>
      </c>
      <c r="D50" s="1" t="s">
        <v>173</v>
      </c>
      <c r="E50" s="1" t="s">
        <v>216</v>
      </c>
      <c r="F50" s="1" t="s">
        <v>238</v>
      </c>
      <c r="G50" s="1" t="s">
        <v>176</v>
      </c>
      <c r="H50" s="1">
        <v>1989</v>
      </c>
      <c r="I50" s="1">
        <v>65</v>
      </c>
    </row>
    <row r="51" spans="1:9" x14ac:dyDescent="0.2">
      <c r="A51" s="1" t="s">
        <v>170</v>
      </c>
      <c r="B51" s="1" t="s">
        <v>172</v>
      </c>
      <c r="C51" s="1">
        <v>1990</v>
      </c>
      <c r="D51" s="1" t="s">
        <v>173</v>
      </c>
      <c r="E51" s="1" t="s">
        <v>216</v>
      </c>
      <c r="F51" s="1" t="s">
        <v>240</v>
      </c>
      <c r="G51" s="1" t="s">
        <v>176</v>
      </c>
      <c r="H51" s="1">
        <v>1989</v>
      </c>
      <c r="I51" s="1">
        <v>822</v>
      </c>
    </row>
    <row r="52" spans="1:9" x14ac:dyDescent="0.2">
      <c r="A52" s="1" t="s">
        <v>170</v>
      </c>
      <c r="B52" s="1" t="s">
        <v>172</v>
      </c>
      <c r="C52" s="1">
        <v>1990</v>
      </c>
      <c r="D52" s="1" t="s">
        <v>173</v>
      </c>
      <c r="E52" s="1" t="s">
        <v>216</v>
      </c>
      <c r="F52" s="1" t="s">
        <v>205</v>
      </c>
      <c r="G52" s="1" t="s">
        <v>176</v>
      </c>
      <c r="H52" s="1">
        <v>1989</v>
      </c>
      <c r="I52" s="1">
        <v>1237</v>
      </c>
    </row>
    <row r="53" spans="1:9" x14ac:dyDescent="0.2">
      <c r="A53" s="1" t="s">
        <v>170</v>
      </c>
      <c r="B53" s="1" t="s">
        <v>172</v>
      </c>
      <c r="C53" s="1">
        <v>1990</v>
      </c>
      <c r="D53" s="1" t="s">
        <v>173</v>
      </c>
      <c r="E53" s="1" t="s">
        <v>216</v>
      </c>
      <c r="F53" s="1" t="s">
        <v>241</v>
      </c>
      <c r="G53" s="1" t="s">
        <v>176</v>
      </c>
      <c r="H53" s="1">
        <v>1989</v>
      </c>
      <c r="I53" s="1">
        <v>611</v>
      </c>
    </row>
    <row r="54" spans="1:9" x14ac:dyDescent="0.2">
      <c r="A54" s="1" t="s">
        <v>170</v>
      </c>
      <c r="B54" s="1" t="s">
        <v>172</v>
      </c>
      <c r="C54" s="1">
        <v>1990</v>
      </c>
      <c r="D54" s="1" t="s">
        <v>173</v>
      </c>
      <c r="E54" s="1" t="s">
        <v>216</v>
      </c>
      <c r="F54" s="1" t="s">
        <v>242</v>
      </c>
      <c r="G54" s="1" t="s">
        <v>176</v>
      </c>
      <c r="H54" s="1">
        <v>1989</v>
      </c>
      <c r="I54" s="1">
        <v>1</v>
      </c>
    </row>
    <row r="55" spans="1:9" x14ac:dyDescent="0.2">
      <c r="A55" s="1" t="s">
        <v>170</v>
      </c>
      <c r="B55" s="1" t="s">
        <v>172</v>
      </c>
      <c r="C55" s="1">
        <v>1990</v>
      </c>
      <c r="D55" s="1" t="s">
        <v>173</v>
      </c>
      <c r="E55" s="1" t="s">
        <v>216</v>
      </c>
      <c r="F55" s="1" t="s">
        <v>243</v>
      </c>
      <c r="G55" s="1" t="s">
        <v>176</v>
      </c>
      <c r="H55" s="1">
        <v>1989</v>
      </c>
      <c r="I55" s="1">
        <v>1</v>
      </c>
    </row>
    <row r="56" spans="1:9" x14ac:dyDescent="0.2">
      <c r="A56" s="1" t="s">
        <v>170</v>
      </c>
      <c r="B56" s="1" t="s">
        <v>172</v>
      </c>
      <c r="C56" s="1">
        <v>1990</v>
      </c>
      <c r="D56" s="1" t="s">
        <v>173</v>
      </c>
      <c r="E56" s="1" t="s">
        <v>219</v>
      </c>
      <c r="F56" s="1" t="s">
        <v>219</v>
      </c>
      <c r="G56" s="1" t="s">
        <v>176</v>
      </c>
      <c r="H56" s="1">
        <v>1989</v>
      </c>
      <c r="I56" s="1">
        <v>9991</v>
      </c>
    </row>
    <row r="57" spans="1:9" x14ac:dyDescent="0.2">
      <c r="A57" s="1" t="s">
        <v>170</v>
      </c>
      <c r="B57" s="1" t="s">
        <v>172</v>
      </c>
      <c r="C57" s="1">
        <v>1990</v>
      </c>
      <c r="D57" s="1" t="s">
        <v>281</v>
      </c>
      <c r="E57" s="1" t="s">
        <v>216</v>
      </c>
      <c r="F57" s="1" t="s">
        <v>239</v>
      </c>
      <c r="G57" s="1" t="s">
        <v>176</v>
      </c>
      <c r="H57" s="1">
        <v>1989</v>
      </c>
      <c r="I57" s="1">
        <v>13000</v>
      </c>
    </row>
    <row r="58" spans="1:9" x14ac:dyDescent="0.2">
      <c r="A58" s="1" t="s">
        <v>170</v>
      </c>
      <c r="B58" s="1" t="s">
        <v>172</v>
      </c>
      <c r="C58" s="1">
        <v>1990</v>
      </c>
      <c r="D58" s="1" t="s">
        <v>281</v>
      </c>
      <c r="E58" s="1" t="s">
        <v>216</v>
      </c>
      <c r="F58" s="1" t="s">
        <v>240</v>
      </c>
      <c r="G58" s="1" t="s">
        <v>176</v>
      </c>
      <c r="H58" s="1">
        <v>1989</v>
      </c>
      <c r="I58" s="1">
        <v>2875</v>
      </c>
    </row>
    <row r="59" spans="1:9" x14ac:dyDescent="0.2">
      <c r="A59" s="1" t="s">
        <v>170</v>
      </c>
      <c r="B59" s="1" t="s">
        <v>172</v>
      </c>
      <c r="C59" s="1">
        <v>1990</v>
      </c>
      <c r="D59" s="1" t="s">
        <v>281</v>
      </c>
      <c r="E59" s="1" t="s">
        <v>216</v>
      </c>
      <c r="F59" s="1" t="s">
        <v>238</v>
      </c>
      <c r="G59" s="1" t="s">
        <v>176</v>
      </c>
      <c r="H59" s="1">
        <v>1989</v>
      </c>
      <c r="I59" s="1">
        <v>135</v>
      </c>
    </row>
    <row r="60" spans="1:9" x14ac:dyDescent="0.2">
      <c r="A60" s="1" t="s">
        <v>170</v>
      </c>
      <c r="B60" s="1" t="s">
        <v>172</v>
      </c>
      <c r="C60" s="1">
        <v>1990</v>
      </c>
      <c r="D60" s="1" t="s">
        <v>281</v>
      </c>
      <c r="E60" s="1" t="s">
        <v>216</v>
      </c>
      <c r="F60" s="1" t="s">
        <v>205</v>
      </c>
      <c r="G60" s="1" t="s">
        <v>176</v>
      </c>
      <c r="H60" s="1">
        <v>1989</v>
      </c>
      <c r="I60" s="1">
        <v>1205</v>
      </c>
    </row>
    <row r="61" spans="1:9" x14ac:dyDescent="0.2">
      <c r="A61" s="1" t="s">
        <v>170</v>
      </c>
      <c r="B61" s="1" t="s">
        <v>172</v>
      </c>
      <c r="C61" s="1">
        <v>1990</v>
      </c>
      <c r="D61" s="1" t="s">
        <v>281</v>
      </c>
      <c r="E61" s="1" t="s">
        <v>219</v>
      </c>
      <c r="F61" s="1" t="s">
        <v>219</v>
      </c>
      <c r="G61" s="1" t="s">
        <v>176</v>
      </c>
      <c r="H61" s="1">
        <v>1989</v>
      </c>
      <c r="I61" s="1">
        <v>17215</v>
      </c>
    </row>
    <row r="62" spans="1:9" x14ac:dyDescent="0.2">
      <c r="A62" s="1" t="s">
        <v>170</v>
      </c>
      <c r="B62" s="1" t="s">
        <v>172</v>
      </c>
      <c r="C62" s="1">
        <v>1995</v>
      </c>
      <c r="D62" s="1" t="s">
        <v>173</v>
      </c>
      <c r="E62" s="1" t="s">
        <v>216</v>
      </c>
      <c r="F62" s="1" t="s">
        <v>217</v>
      </c>
      <c r="G62" s="1" t="s">
        <v>176</v>
      </c>
      <c r="H62" s="1">
        <v>1994</v>
      </c>
      <c r="I62" s="1">
        <f>11006-3188</f>
        <v>7818</v>
      </c>
    </row>
    <row r="63" spans="1:9" x14ac:dyDescent="0.2">
      <c r="A63" s="1" t="s">
        <v>170</v>
      </c>
      <c r="B63" s="1" t="s">
        <v>172</v>
      </c>
      <c r="C63" s="1">
        <v>1995</v>
      </c>
      <c r="D63" s="1" t="s">
        <v>173</v>
      </c>
      <c r="E63" s="1" t="s">
        <v>216</v>
      </c>
      <c r="F63" s="1" t="s">
        <v>218</v>
      </c>
      <c r="G63" s="1" t="s">
        <v>176</v>
      </c>
      <c r="H63" s="1">
        <v>1994</v>
      </c>
      <c r="I63" s="1">
        <v>3188</v>
      </c>
    </row>
    <row r="64" spans="1:9" x14ac:dyDescent="0.2">
      <c r="A64" s="1" t="s">
        <v>170</v>
      </c>
      <c r="B64" s="1" t="s">
        <v>172</v>
      </c>
      <c r="C64" s="1">
        <v>1995</v>
      </c>
      <c r="D64" s="1" t="s">
        <v>173</v>
      </c>
      <c r="E64" s="1" t="s">
        <v>219</v>
      </c>
      <c r="F64" s="1" t="s">
        <v>219</v>
      </c>
      <c r="G64" s="1" t="s">
        <v>176</v>
      </c>
      <c r="H64" s="1">
        <v>1994</v>
      </c>
      <c r="I64" s="1">
        <v>11006</v>
      </c>
    </row>
    <row r="65" spans="1:10" x14ac:dyDescent="0.2">
      <c r="A65" s="1" t="s">
        <v>170</v>
      </c>
      <c r="B65" s="1" t="s">
        <v>172</v>
      </c>
      <c r="C65" s="1">
        <v>1995</v>
      </c>
      <c r="D65" s="1" t="s">
        <v>173</v>
      </c>
      <c r="E65" s="1" t="s">
        <v>214</v>
      </c>
      <c r="F65" s="1" t="s">
        <v>215</v>
      </c>
      <c r="G65" s="1" t="s">
        <v>176</v>
      </c>
      <c r="H65" s="1">
        <v>1995</v>
      </c>
      <c r="I65" s="1">
        <f>INT(11006*0.89)</f>
        <v>9795</v>
      </c>
      <c r="J65" s="1" t="s">
        <v>383</v>
      </c>
    </row>
    <row r="66" spans="1:10" x14ac:dyDescent="0.2">
      <c r="A66" s="1" t="s">
        <v>170</v>
      </c>
      <c r="B66" s="1" t="s">
        <v>172</v>
      </c>
      <c r="C66" s="1">
        <v>1995</v>
      </c>
      <c r="D66" s="1" t="s">
        <v>173</v>
      </c>
      <c r="E66" s="1" t="s">
        <v>214</v>
      </c>
      <c r="F66" s="1" t="s">
        <v>225</v>
      </c>
      <c r="G66" s="1" t="s">
        <v>176</v>
      </c>
      <c r="H66" s="1">
        <v>1995</v>
      </c>
      <c r="I66" s="1">
        <f>INT(11006*0.1)</f>
        <v>1100</v>
      </c>
      <c r="J66" s="1" t="s">
        <v>384</v>
      </c>
    </row>
    <row r="67" spans="1:10" x14ac:dyDescent="0.2">
      <c r="A67" s="1" t="s">
        <v>170</v>
      </c>
      <c r="B67" s="1" t="s">
        <v>172</v>
      </c>
      <c r="C67" s="1">
        <v>1995</v>
      </c>
      <c r="D67" s="1" t="s">
        <v>173</v>
      </c>
      <c r="E67" s="1" t="s">
        <v>214</v>
      </c>
      <c r="F67" s="1" t="s">
        <v>228</v>
      </c>
      <c r="G67" s="1" t="s">
        <v>176</v>
      </c>
      <c r="H67" s="1">
        <v>1995</v>
      </c>
      <c r="I67" s="1">
        <f>INT(11006*0.006)</f>
        <v>66</v>
      </c>
      <c r="J67" s="1" t="s">
        <v>385</v>
      </c>
    </row>
    <row r="68" spans="1:10" x14ac:dyDescent="0.2">
      <c r="A68" s="1" t="s">
        <v>170</v>
      </c>
      <c r="B68" s="1" t="s">
        <v>172</v>
      </c>
      <c r="C68" s="1">
        <v>1995</v>
      </c>
      <c r="D68" s="1" t="s">
        <v>173</v>
      </c>
      <c r="E68" s="1" t="s">
        <v>214</v>
      </c>
      <c r="F68" s="1" t="s">
        <v>229</v>
      </c>
      <c r="G68" s="1" t="s">
        <v>176</v>
      </c>
      <c r="H68" s="1">
        <v>1995</v>
      </c>
      <c r="I68" s="1">
        <f>11006-SUM(I65:I67)</f>
        <v>45</v>
      </c>
      <c r="J68" s="1" t="s">
        <v>386</v>
      </c>
    </row>
    <row r="69" spans="1:10" x14ac:dyDescent="0.2">
      <c r="A69" s="1" t="s">
        <v>170</v>
      </c>
      <c r="B69" s="1" t="s">
        <v>172</v>
      </c>
      <c r="C69" s="1">
        <v>1995</v>
      </c>
      <c r="D69" s="1" t="s">
        <v>173</v>
      </c>
      <c r="E69" s="1" t="s">
        <v>216</v>
      </c>
      <c r="F69" s="1" t="s">
        <v>239</v>
      </c>
      <c r="G69" s="1" t="s">
        <v>176</v>
      </c>
      <c r="H69" s="1">
        <v>1990</v>
      </c>
      <c r="I69" s="1">
        <v>7261</v>
      </c>
    </row>
    <row r="70" spans="1:10" x14ac:dyDescent="0.2">
      <c r="A70" s="1" t="s">
        <v>170</v>
      </c>
      <c r="B70" s="1" t="s">
        <v>172</v>
      </c>
      <c r="C70" s="1">
        <v>1995</v>
      </c>
      <c r="D70" s="1" t="s">
        <v>173</v>
      </c>
      <c r="E70" s="1" t="s">
        <v>216</v>
      </c>
      <c r="F70" s="1" t="s">
        <v>238</v>
      </c>
      <c r="G70" s="1" t="s">
        <v>176</v>
      </c>
      <c r="H70" s="1">
        <v>1990</v>
      </c>
      <c r="I70" s="1">
        <v>67</v>
      </c>
    </row>
    <row r="71" spans="1:10" x14ac:dyDescent="0.2">
      <c r="A71" s="1" t="s">
        <v>170</v>
      </c>
      <c r="B71" s="1" t="s">
        <v>172</v>
      </c>
      <c r="C71" s="1">
        <v>1995</v>
      </c>
      <c r="D71" s="1" t="s">
        <v>173</v>
      </c>
      <c r="E71" s="1" t="s">
        <v>216</v>
      </c>
      <c r="F71" s="1" t="s">
        <v>240</v>
      </c>
      <c r="G71" s="1" t="s">
        <v>176</v>
      </c>
      <c r="H71" s="1">
        <v>1990</v>
      </c>
      <c r="I71" s="1">
        <v>1271</v>
      </c>
    </row>
    <row r="72" spans="1:10" x14ac:dyDescent="0.2">
      <c r="A72" s="1" t="s">
        <v>170</v>
      </c>
      <c r="B72" s="1" t="s">
        <v>172</v>
      </c>
      <c r="C72" s="1">
        <v>1995</v>
      </c>
      <c r="D72" s="1" t="s">
        <v>173</v>
      </c>
      <c r="E72" s="1" t="s">
        <v>216</v>
      </c>
      <c r="F72" s="1" t="s">
        <v>205</v>
      </c>
      <c r="G72" s="1" t="s">
        <v>176</v>
      </c>
      <c r="H72" s="1">
        <v>1990</v>
      </c>
      <c r="I72" s="1">
        <v>1173</v>
      </c>
    </row>
    <row r="73" spans="1:10" x14ac:dyDescent="0.2">
      <c r="A73" s="1" t="s">
        <v>170</v>
      </c>
      <c r="B73" s="1" t="s">
        <v>172</v>
      </c>
      <c r="C73" s="1">
        <v>1995</v>
      </c>
      <c r="D73" s="1" t="s">
        <v>173</v>
      </c>
      <c r="E73" s="1" t="s">
        <v>216</v>
      </c>
      <c r="F73" s="1" t="s">
        <v>241</v>
      </c>
      <c r="G73" s="1" t="s">
        <v>176</v>
      </c>
      <c r="H73" s="1">
        <v>1990</v>
      </c>
      <c r="I73" s="1">
        <v>623</v>
      </c>
    </row>
    <row r="74" spans="1:10" x14ac:dyDescent="0.2">
      <c r="A74" s="1" t="s">
        <v>170</v>
      </c>
      <c r="B74" s="1" t="s">
        <v>172</v>
      </c>
      <c r="C74" s="1">
        <v>1995</v>
      </c>
      <c r="D74" s="1" t="s">
        <v>173</v>
      </c>
      <c r="E74" s="1" t="s">
        <v>216</v>
      </c>
      <c r="F74" s="1" t="s">
        <v>242</v>
      </c>
      <c r="G74" s="1" t="s">
        <v>176</v>
      </c>
      <c r="H74" s="1">
        <v>1990</v>
      </c>
      <c r="I74" s="1">
        <v>1</v>
      </c>
    </row>
    <row r="75" spans="1:10" x14ac:dyDescent="0.2">
      <c r="A75" s="1" t="s">
        <v>170</v>
      </c>
      <c r="B75" s="1" t="s">
        <v>172</v>
      </c>
      <c r="C75" s="1">
        <v>1995</v>
      </c>
      <c r="D75" s="1" t="s">
        <v>173</v>
      </c>
      <c r="E75" s="1" t="s">
        <v>216</v>
      </c>
      <c r="F75" s="1" t="s">
        <v>243</v>
      </c>
      <c r="G75" s="1" t="s">
        <v>176</v>
      </c>
      <c r="H75" s="1">
        <v>1990</v>
      </c>
      <c r="I75" s="1">
        <v>1</v>
      </c>
    </row>
    <row r="76" spans="1:10" x14ac:dyDescent="0.2">
      <c r="A76" s="1" t="s">
        <v>170</v>
      </c>
      <c r="B76" s="1" t="s">
        <v>172</v>
      </c>
      <c r="C76" s="1">
        <v>1995</v>
      </c>
      <c r="D76" s="1" t="s">
        <v>173</v>
      </c>
      <c r="E76" s="1" t="s">
        <v>219</v>
      </c>
      <c r="F76" s="1" t="s">
        <v>219</v>
      </c>
      <c r="G76" s="1" t="s">
        <v>176</v>
      </c>
      <c r="H76" s="1">
        <v>1990</v>
      </c>
      <c r="I76" s="1">
        <v>10397</v>
      </c>
    </row>
    <row r="77" spans="1:10" x14ac:dyDescent="0.2">
      <c r="A77" s="1" t="s">
        <v>170</v>
      </c>
      <c r="B77" s="1" t="s">
        <v>172</v>
      </c>
      <c r="C77" s="1">
        <v>1995</v>
      </c>
      <c r="D77" s="1" t="s">
        <v>173</v>
      </c>
      <c r="E77" s="1" t="s">
        <v>216</v>
      </c>
      <c r="F77" s="1" t="s">
        <v>239</v>
      </c>
      <c r="G77" s="1" t="s">
        <v>176</v>
      </c>
      <c r="H77" s="1">
        <v>1991</v>
      </c>
      <c r="I77" s="1">
        <v>7274</v>
      </c>
    </row>
    <row r="78" spans="1:10" x14ac:dyDescent="0.2">
      <c r="A78" s="1" t="s">
        <v>170</v>
      </c>
      <c r="B78" s="1" t="s">
        <v>172</v>
      </c>
      <c r="C78" s="1">
        <v>1995</v>
      </c>
      <c r="D78" s="1" t="s">
        <v>173</v>
      </c>
      <c r="E78" s="1" t="s">
        <v>216</v>
      </c>
      <c r="F78" s="1" t="s">
        <v>238</v>
      </c>
      <c r="G78" s="1" t="s">
        <v>176</v>
      </c>
      <c r="H78" s="1">
        <v>1991</v>
      </c>
      <c r="I78" s="1">
        <v>82</v>
      </c>
    </row>
    <row r="79" spans="1:10" x14ac:dyDescent="0.2">
      <c r="A79" s="1" t="s">
        <v>170</v>
      </c>
      <c r="B79" s="1" t="s">
        <v>172</v>
      </c>
      <c r="C79" s="1">
        <v>1995</v>
      </c>
      <c r="D79" s="1" t="s">
        <v>173</v>
      </c>
      <c r="E79" s="1" t="s">
        <v>216</v>
      </c>
      <c r="F79" s="1" t="s">
        <v>240</v>
      </c>
      <c r="G79" s="1" t="s">
        <v>176</v>
      </c>
      <c r="H79" s="1">
        <v>1991</v>
      </c>
      <c r="I79" s="1">
        <v>1457</v>
      </c>
    </row>
    <row r="80" spans="1:10" x14ac:dyDescent="0.2">
      <c r="A80" s="1" t="s">
        <v>170</v>
      </c>
      <c r="B80" s="1" t="s">
        <v>172</v>
      </c>
      <c r="C80" s="1">
        <v>1995</v>
      </c>
      <c r="D80" s="1" t="s">
        <v>173</v>
      </c>
      <c r="E80" s="1" t="s">
        <v>216</v>
      </c>
      <c r="F80" s="1" t="s">
        <v>205</v>
      </c>
      <c r="G80" s="1" t="s">
        <v>176</v>
      </c>
      <c r="H80" s="1">
        <v>1991</v>
      </c>
      <c r="I80" s="1">
        <v>1197</v>
      </c>
    </row>
    <row r="81" spans="1:9" x14ac:dyDescent="0.2">
      <c r="A81" s="1" t="s">
        <v>170</v>
      </c>
      <c r="B81" s="1" t="s">
        <v>172</v>
      </c>
      <c r="C81" s="1">
        <v>1995</v>
      </c>
      <c r="D81" s="1" t="s">
        <v>173</v>
      </c>
      <c r="E81" s="1" t="s">
        <v>216</v>
      </c>
      <c r="F81" s="1" t="s">
        <v>241</v>
      </c>
      <c r="G81" s="1" t="s">
        <v>176</v>
      </c>
      <c r="H81" s="1">
        <v>1991</v>
      </c>
      <c r="I81" s="1">
        <v>656</v>
      </c>
    </row>
    <row r="82" spans="1:9" x14ac:dyDescent="0.2">
      <c r="A82" s="1" t="s">
        <v>170</v>
      </c>
      <c r="B82" s="1" t="s">
        <v>172</v>
      </c>
      <c r="C82" s="1">
        <v>1995</v>
      </c>
      <c r="D82" s="1" t="s">
        <v>173</v>
      </c>
      <c r="E82" s="1" t="s">
        <v>216</v>
      </c>
      <c r="F82" s="1" t="s">
        <v>242</v>
      </c>
      <c r="G82" s="1" t="s">
        <v>176</v>
      </c>
      <c r="H82" s="1">
        <v>1991</v>
      </c>
      <c r="I82" s="1">
        <v>1</v>
      </c>
    </row>
    <row r="83" spans="1:9" x14ac:dyDescent="0.2">
      <c r="A83" s="1" t="s">
        <v>170</v>
      </c>
      <c r="B83" s="1" t="s">
        <v>172</v>
      </c>
      <c r="C83" s="1">
        <v>1995</v>
      </c>
      <c r="D83" s="1" t="s">
        <v>173</v>
      </c>
      <c r="E83" s="1" t="s">
        <v>216</v>
      </c>
      <c r="F83" s="1" t="s">
        <v>243</v>
      </c>
      <c r="G83" s="1" t="s">
        <v>176</v>
      </c>
      <c r="H83" s="1">
        <v>1991</v>
      </c>
      <c r="I83" s="1">
        <v>1</v>
      </c>
    </row>
    <row r="84" spans="1:9" x14ac:dyDescent="0.2">
      <c r="A84" s="1" t="s">
        <v>170</v>
      </c>
      <c r="B84" s="1" t="s">
        <v>172</v>
      </c>
      <c r="C84" s="1">
        <v>1995</v>
      </c>
      <c r="D84" s="1" t="s">
        <v>173</v>
      </c>
      <c r="E84" s="1" t="s">
        <v>219</v>
      </c>
      <c r="F84" s="1" t="s">
        <v>219</v>
      </c>
      <c r="G84" s="1" t="s">
        <v>176</v>
      </c>
      <c r="H84" s="1">
        <v>1991</v>
      </c>
      <c r="I84" s="1">
        <v>10668</v>
      </c>
    </row>
    <row r="85" spans="1:9" x14ac:dyDescent="0.2">
      <c r="A85" s="1" t="s">
        <v>170</v>
      </c>
      <c r="B85" s="1" t="s">
        <v>172</v>
      </c>
      <c r="C85" s="1">
        <v>1995</v>
      </c>
      <c r="D85" s="1" t="s">
        <v>173</v>
      </c>
      <c r="E85" s="1" t="s">
        <v>216</v>
      </c>
      <c r="F85" s="1" t="s">
        <v>239</v>
      </c>
      <c r="G85" s="1" t="s">
        <v>176</v>
      </c>
      <c r="H85" s="1">
        <v>1992</v>
      </c>
      <c r="I85" s="1">
        <v>7603</v>
      </c>
    </row>
    <row r="86" spans="1:9" x14ac:dyDescent="0.2">
      <c r="A86" s="1" t="s">
        <v>170</v>
      </c>
      <c r="B86" s="1" t="s">
        <v>172</v>
      </c>
      <c r="C86" s="1">
        <v>1995</v>
      </c>
      <c r="D86" s="1" t="s">
        <v>173</v>
      </c>
      <c r="E86" s="1" t="s">
        <v>216</v>
      </c>
      <c r="F86" s="1" t="s">
        <v>238</v>
      </c>
      <c r="G86" s="1" t="s">
        <v>176</v>
      </c>
      <c r="H86" s="1">
        <v>1992</v>
      </c>
      <c r="I86" s="1">
        <v>68</v>
      </c>
    </row>
    <row r="87" spans="1:9" x14ac:dyDescent="0.2">
      <c r="A87" s="1" t="s">
        <v>170</v>
      </c>
      <c r="B87" s="1" t="s">
        <v>172</v>
      </c>
      <c r="C87" s="1">
        <v>1995</v>
      </c>
      <c r="D87" s="1" t="s">
        <v>173</v>
      </c>
      <c r="E87" s="1" t="s">
        <v>216</v>
      </c>
      <c r="F87" s="1" t="s">
        <v>240</v>
      </c>
      <c r="G87" s="1" t="s">
        <v>176</v>
      </c>
      <c r="H87" s="1">
        <v>1992</v>
      </c>
      <c r="I87" s="1">
        <v>1237</v>
      </c>
    </row>
    <row r="88" spans="1:9" x14ac:dyDescent="0.2">
      <c r="A88" s="1" t="s">
        <v>170</v>
      </c>
      <c r="B88" s="1" t="s">
        <v>172</v>
      </c>
      <c r="C88" s="1">
        <v>1995</v>
      </c>
      <c r="D88" s="1" t="s">
        <v>173</v>
      </c>
      <c r="E88" s="1" t="s">
        <v>216</v>
      </c>
      <c r="F88" s="1" t="s">
        <v>205</v>
      </c>
      <c r="G88" s="1" t="s">
        <v>176</v>
      </c>
      <c r="H88" s="1">
        <v>1992</v>
      </c>
      <c r="I88" s="1">
        <v>1164</v>
      </c>
    </row>
    <row r="89" spans="1:9" x14ac:dyDescent="0.2">
      <c r="A89" s="1" t="s">
        <v>170</v>
      </c>
      <c r="B89" s="1" t="s">
        <v>172</v>
      </c>
      <c r="C89" s="1">
        <v>1995</v>
      </c>
      <c r="D89" s="1" t="s">
        <v>173</v>
      </c>
      <c r="E89" s="1" t="s">
        <v>216</v>
      </c>
      <c r="F89" s="1" t="s">
        <v>241</v>
      </c>
      <c r="G89" s="1" t="s">
        <v>176</v>
      </c>
      <c r="H89" s="1">
        <v>1992</v>
      </c>
      <c r="I89" s="1">
        <v>681</v>
      </c>
    </row>
    <row r="90" spans="1:9" x14ac:dyDescent="0.2">
      <c r="A90" s="1" t="s">
        <v>170</v>
      </c>
      <c r="B90" s="1" t="s">
        <v>172</v>
      </c>
      <c r="C90" s="1">
        <v>1995</v>
      </c>
      <c r="D90" s="1" t="s">
        <v>173</v>
      </c>
      <c r="E90" s="1" t="s">
        <v>216</v>
      </c>
      <c r="F90" s="1" t="s">
        <v>242</v>
      </c>
      <c r="G90" s="1" t="s">
        <v>176</v>
      </c>
      <c r="H90" s="1">
        <v>1992</v>
      </c>
      <c r="I90" s="1">
        <v>5</v>
      </c>
    </row>
    <row r="91" spans="1:9" x14ac:dyDescent="0.2">
      <c r="A91" s="1" t="s">
        <v>170</v>
      </c>
      <c r="B91" s="1" t="s">
        <v>172</v>
      </c>
      <c r="C91" s="1">
        <v>1995</v>
      </c>
      <c r="D91" s="1" t="s">
        <v>173</v>
      </c>
      <c r="E91" s="1" t="s">
        <v>216</v>
      </c>
      <c r="F91" s="1" t="s">
        <v>243</v>
      </c>
      <c r="G91" s="1" t="s">
        <v>176</v>
      </c>
      <c r="H91" s="1">
        <v>1992</v>
      </c>
      <c r="I91" s="1">
        <v>1</v>
      </c>
    </row>
    <row r="92" spans="1:9" x14ac:dyDescent="0.2">
      <c r="A92" s="1" t="s">
        <v>170</v>
      </c>
      <c r="B92" s="1" t="s">
        <v>172</v>
      </c>
      <c r="C92" s="1">
        <v>1995</v>
      </c>
      <c r="D92" s="1" t="s">
        <v>173</v>
      </c>
      <c r="E92" s="1" t="s">
        <v>219</v>
      </c>
      <c r="F92" s="1" t="s">
        <v>219</v>
      </c>
      <c r="G92" s="1" t="s">
        <v>176</v>
      </c>
      <c r="H92" s="1">
        <v>1992</v>
      </c>
      <c r="I92" s="1">
        <v>10759</v>
      </c>
    </row>
    <row r="93" spans="1:9" x14ac:dyDescent="0.2">
      <c r="A93" s="1" t="s">
        <v>170</v>
      </c>
      <c r="B93" s="1" t="s">
        <v>172</v>
      </c>
      <c r="C93" s="1">
        <v>1995</v>
      </c>
      <c r="D93" s="1" t="s">
        <v>173</v>
      </c>
      <c r="E93" s="1" t="s">
        <v>216</v>
      </c>
      <c r="F93" s="1" t="s">
        <v>239</v>
      </c>
      <c r="G93" s="1" t="s">
        <v>176</v>
      </c>
      <c r="H93" s="1">
        <v>1993</v>
      </c>
      <c r="I93" s="1">
        <v>7593</v>
      </c>
    </row>
    <row r="94" spans="1:9" x14ac:dyDescent="0.2">
      <c r="A94" s="1" t="s">
        <v>170</v>
      </c>
      <c r="B94" s="1" t="s">
        <v>172</v>
      </c>
      <c r="C94" s="1">
        <v>1995</v>
      </c>
      <c r="D94" s="1" t="s">
        <v>173</v>
      </c>
      <c r="E94" s="1" t="s">
        <v>216</v>
      </c>
      <c r="F94" s="1" t="s">
        <v>238</v>
      </c>
      <c r="G94" s="1" t="s">
        <v>176</v>
      </c>
      <c r="H94" s="1">
        <v>1993</v>
      </c>
      <c r="I94" s="1">
        <v>68</v>
      </c>
    </row>
    <row r="95" spans="1:9" x14ac:dyDescent="0.2">
      <c r="A95" s="1" t="s">
        <v>170</v>
      </c>
      <c r="B95" s="1" t="s">
        <v>172</v>
      </c>
      <c r="C95" s="1">
        <v>1995</v>
      </c>
      <c r="D95" s="1" t="s">
        <v>173</v>
      </c>
      <c r="E95" s="1" t="s">
        <v>216</v>
      </c>
      <c r="F95" s="1" t="s">
        <v>240</v>
      </c>
      <c r="G95" s="1" t="s">
        <v>176</v>
      </c>
      <c r="H95" s="1">
        <v>1993</v>
      </c>
      <c r="I95" s="1">
        <v>1415</v>
      </c>
    </row>
    <row r="96" spans="1:9" x14ac:dyDescent="0.2">
      <c r="A96" s="1" t="s">
        <v>170</v>
      </c>
      <c r="B96" s="1" t="s">
        <v>172</v>
      </c>
      <c r="C96" s="1">
        <v>1995</v>
      </c>
      <c r="D96" s="1" t="s">
        <v>173</v>
      </c>
      <c r="E96" s="1" t="s">
        <v>216</v>
      </c>
      <c r="F96" s="1" t="s">
        <v>205</v>
      </c>
      <c r="G96" s="1" t="s">
        <v>176</v>
      </c>
      <c r="H96" s="1">
        <v>1993</v>
      </c>
      <c r="I96" s="1">
        <v>1026</v>
      </c>
    </row>
    <row r="97" spans="1:10" x14ac:dyDescent="0.2">
      <c r="A97" s="1" t="s">
        <v>170</v>
      </c>
      <c r="B97" s="1" t="s">
        <v>172</v>
      </c>
      <c r="C97" s="1">
        <v>1995</v>
      </c>
      <c r="D97" s="1" t="s">
        <v>173</v>
      </c>
      <c r="E97" s="1" t="s">
        <v>216</v>
      </c>
      <c r="F97" s="1" t="s">
        <v>241</v>
      </c>
      <c r="G97" s="1" t="s">
        <v>176</v>
      </c>
      <c r="H97" s="1">
        <v>1993</v>
      </c>
      <c r="I97" s="1">
        <v>677</v>
      </c>
    </row>
    <row r="98" spans="1:10" x14ac:dyDescent="0.2">
      <c r="A98" s="1" t="s">
        <v>170</v>
      </c>
      <c r="B98" s="1" t="s">
        <v>172</v>
      </c>
      <c r="C98" s="1">
        <v>1995</v>
      </c>
      <c r="D98" s="1" t="s">
        <v>173</v>
      </c>
      <c r="E98" s="1" t="s">
        <v>216</v>
      </c>
      <c r="F98" s="1" t="s">
        <v>242</v>
      </c>
      <c r="G98" s="1" t="s">
        <v>176</v>
      </c>
      <c r="H98" s="1">
        <v>1993</v>
      </c>
      <c r="I98" s="1">
        <v>5</v>
      </c>
    </row>
    <row r="99" spans="1:10" x14ac:dyDescent="0.2">
      <c r="A99" s="1" t="s">
        <v>170</v>
      </c>
      <c r="B99" s="1" t="s">
        <v>172</v>
      </c>
      <c r="C99" s="1">
        <v>1995</v>
      </c>
      <c r="D99" s="1" t="s">
        <v>173</v>
      </c>
      <c r="E99" s="1" t="s">
        <v>216</v>
      </c>
      <c r="F99" s="1" t="s">
        <v>243</v>
      </c>
      <c r="G99" s="1" t="s">
        <v>176</v>
      </c>
      <c r="H99" s="1">
        <v>1993</v>
      </c>
      <c r="I99" s="1">
        <v>2</v>
      </c>
    </row>
    <row r="100" spans="1:10" x14ac:dyDescent="0.2">
      <c r="A100" s="1" t="s">
        <v>170</v>
      </c>
      <c r="B100" s="1" t="s">
        <v>172</v>
      </c>
      <c r="C100" s="1">
        <v>1995</v>
      </c>
      <c r="D100" s="1" t="s">
        <v>173</v>
      </c>
      <c r="E100" s="1" t="s">
        <v>219</v>
      </c>
      <c r="F100" s="1" t="s">
        <v>219</v>
      </c>
      <c r="G100" s="1" t="s">
        <v>176</v>
      </c>
      <c r="H100" s="1">
        <v>1993</v>
      </c>
      <c r="I100" s="1">
        <v>10786</v>
      </c>
    </row>
    <row r="101" spans="1:10" x14ac:dyDescent="0.2">
      <c r="A101" s="1" t="s">
        <v>170</v>
      </c>
      <c r="B101" s="1" t="s">
        <v>172</v>
      </c>
      <c r="C101" s="1">
        <v>1995</v>
      </c>
      <c r="D101" s="1" t="s">
        <v>173</v>
      </c>
      <c r="E101" s="1" t="s">
        <v>216</v>
      </c>
      <c r="F101" s="1" t="s">
        <v>239</v>
      </c>
      <c r="G101" s="1" t="s">
        <v>176</v>
      </c>
      <c r="H101" s="1">
        <v>1994</v>
      </c>
      <c r="I101" s="1">
        <v>7625</v>
      </c>
    </row>
    <row r="102" spans="1:10" x14ac:dyDescent="0.2">
      <c r="A102" s="1" t="s">
        <v>170</v>
      </c>
      <c r="B102" s="1" t="s">
        <v>172</v>
      </c>
      <c r="C102" s="1">
        <v>1995</v>
      </c>
      <c r="D102" s="1" t="s">
        <v>173</v>
      </c>
      <c r="E102" s="1" t="s">
        <v>216</v>
      </c>
      <c r="F102" s="1" t="s">
        <v>238</v>
      </c>
      <c r="G102" s="1" t="s">
        <v>176</v>
      </c>
      <c r="H102" s="1">
        <v>1994</v>
      </c>
      <c r="I102" s="1">
        <v>74</v>
      </c>
    </row>
    <row r="103" spans="1:10" x14ac:dyDescent="0.2">
      <c r="A103" s="1" t="s">
        <v>170</v>
      </c>
      <c r="B103" s="1" t="s">
        <v>172</v>
      </c>
      <c r="C103" s="1">
        <v>1995</v>
      </c>
      <c r="D103" s="1" t="s">
        <v>173</v>
      </c>
      <c r="E103" s="1" t="s">
        <v>216</v>
      </c>
      <c r="F103" s="1" t="s">
        <v>240</v>
      </c>
      <c r="G103" s="1" t="s">
        <v>176</v>
      </c>
      <c r="H103" s="1">
        <v>1994</v>
      </c>
      <c r="I103" s="1">
        <v>1426</v>
      </c>
    </row>
    <row r="104" spans="1:10" x14ac:dyDescent="0.2">
      <c r="A104" s="1" t="s">
        <v>170</v>
      </c>
      <c r="B104" s="1" t="s">
        <v>172</v>
      </c>
      <c r="C104" s="1">
        <v>1995</v>
      </c>
      <c r="D104" s="1" t="s">
        <v>173</v>
      </c>
      <c r="E104" s="1" t="s">
        <v>216</v>
      </c>
      <c r="F104" s="1" t="s">
        <v>205</v>
      </c>
      <c r="G104" s="1" t="s">
        <v>176</v>
      </c>
      <c r="H104" s="1">
        <v>1994</v>
      </c>
      <c r="I104" s="1">
        <v>1173</v>
      </c>
    </row>
    <row r="105" spans="1:10" x14ac:dyDescent="0.2">
      <c r="A105" s="1" t="s">
        <v>170</v>
      </c>
      <c r="B105" s="1" t="s">
        <v>172</v>
      </c>
      <c r="C105" s="1">
        <v>1995</v>
      </c>
      <c r="D105" s="1" t="s">
        <v>173</v>
      </c>
      <c r="E105" s="1" t="s">
        <v>216</v>
      </c>
      <c r="F105" s="1" t="s">
        <v>241</v>
      </c>
      <c r="G105" s="1" t="s">
        <v>176</v>
      </c>
      <c r="H105" s="1">
        <v>1994</v>
      </c>
      <c r="I105" s="1">
        <v>701</v>
      </c>
    </row>
    <row r="106" spans="1:10" x14ac:dyDescent="0.2">
      <c r="A106" s="1" t="s">
        <v>170</v>
      </c>
      <c r="B106" s="1" t="s">
        <v>172</v>
      </c>
      <c r="C106" s="1">
        <v>1995</v>
      </c>
      <c r="D106" s="1" t="s">
        <v>173</v>
      </c>
      <c r="E106" s="1" t="s">
        <v>216</v>
      </c>
      <c r="F106" s="1" t="s">
        <v>242</v>
      </c>
      <c r="G106" s="1" t="s">
        <v>176</v>
      </c>
      <c r="H106" s="1">
        <v>1994</v>
      </c>
      <c r="I106" s="1">
        <v>5</v>
      </c>
    </row>
    <row r="107" spans="1:10" x14ac:dyDescent="0.2">
      <c r="A107" s="1" t="s">
        <v>170</v>
      </c>
      <c r="B107" s="1" t="s">
        <v>172</v>
      </c>
      <c r="C107" s="1">
        <v>1995</v>
      </c>
      <c r="D107" s="1" t="s">
        <v>173</v>
      </c>
      <c r="E107" s="1" t="s">
        <v>216</v>
      </c>
      <c r="F107" s="1" t="s">
        <v>243</v>
      </c>
      <c r="G107" s="1" t="s">
        <v>176</v>
      </c>
      <c r="H107" s="1">
        <v>1994</v>
      </c>
      <c r="I107" s="1">
        <v>2</v>
      </c>
    </row>
    <row r="108" spans="1:10" x14ac:dyDescent="0.2">
      <c r="A108" s="1" t="s">
        <v>170</v>
      </c>
      <c r="B108" s="1" t="s">
        <v>172</v>
      </c>
      <c r="C108" s="1">
        <v>1995</v>
      </c>
      <c r="D108" s="1" t="s">
        <v>173</v>
      </c>
      <c r="E108" s="1" t="s">
        <v>219</v>
      </c>
      <c r="F108" s="1" t="s">
        <v>219</v>
      </c>
      <c r="G108" s="1" t="s">
        <v>176</v>
      </c>
      <c r="H108" s="1">
        <v>1994</v>
      </c>
      <c r="I108" s="1">
        <v>11006</v>
      </c>
    </row>
    <row r="109" spans="1:10" x14ac:dyDescent="0.2">
      <c r="A109" s="1" t="s">
        <v>170</v>
      </c>
      <c r="B109" s="1" t="s">
        <v>172</v>
      </c>
      <c r="C109" s="1">
        <v>1998</v>
      </c>
      <c r="D109" s="1" t="s">
        <v>173</v>
      </c>
      <c r="E109" s="1" t="s">
        <v>216</v>
      </c>
      <c r="F109" s="1" t="s">
        <v>217</v>
      </c>
      <c r="G109" s="1" t="s">
        <v>176</v>
      </c>
      <c r="H109" s="1">
        <v>1997</v>
      </c>
      <c r="I109" s="1">
        <f>11316-3654</f>
        <v>7662</v>
      </c>
    </row>
    <row r="110" spans="1:10" x14ac:dyDescent="0.2">
      <c r="A110" s="1" t="s">
        <v>170</v>
      </c>
      <c r="B110" s="1" t="s">
        <v>172</v>
      </c>
      <c r="C110" s="1">
        <v>1998</v>
      </c>
      <c r="D110" s="1" t="s">
        <v>173</v>
      </c>
      <c r="E110" s="1" t="s">
        <v>216</v>
      </c>
      <c r="F110" s="1" t="s">
        <v>218</v>
      </c>
      <c r="G110" s="1" t="s">
        <v>176</v>
      </c>
      <c r="H110" s="1">
        <v>1997</v>
      </c>
      <c r="I110" s="1">
        <v>3654</v>
      </c>
    </row>
    <row r="111" spans="1:10" x14ac:dyDescent="0.2">
      <c r="A111" s="1" t="s">
        <v>170</v>
      </c>
      <c r="B111" s="1" t="s">
        <v>172</v>
      </c>
      <c r="C111" s="1">
        <v>1998</v>
      </c>
      <c r="D111" s="1" t="s">
        <v>173</v>
      </c>
      <c r="E111" s="1" t="s">
        <v>219</v>
      </c>
      <c r="F111" s="1" t="s">
        <v>219</v>
      </c>
      <c r="G111" s="1" t="s">
        <v>176</v>
      </c>
      <c r="H111" s="1">
        <v>1997</v>
      </c>
      <c r="I111" s="1">
        <v>11316</v>
      </c>
    </row>
    <row r="112" spans="1:10" x14ac:dyDescent="0.2">
      <c r="A112" s="1" t="s">
        <v>170</v>
      </c>
      <c r="B112" s="1" t="s">
        <v>172</v>
      </c>
      <c r="C112" s="1">
        <v>1998</v>
      </c>
      <c r="D112" s="1" t="s">
        <v>173</v>
      </c>
      <c r="E112" s="1" t="s">
        <v>214</v>
      </c>
      <c r="F112" s="1" t="s">
        <v>215</v>
      </c>
      <c r="G112" s="1" t="s">
        <v>176</v>
      </c>
      <c r="H112" s="1">
        <v>1997</v>
      </c>
      <c r="I112" s="1">
        <f>INT(11316*0.88)</f>
        <v>9958</v>
      </c>
      <c r="J112" s="1" t="s">
        <v>427</v>
      </c>
    </row>
    <row r="113" spans="1:10" x14ac:dyDescent="0.2">
      <c r="A113" s="1" t="s">
        <v>170</v>
      </c>
      <c r="B113" s="1" t="s">
        <v>172</v>
      </c>
      <c r="C113" s="1">
        <v>1998</v>
      </c>
      <c r="D113" s="1" t="s">
        <v>173</v>
      </c>
      <c r="E113" s="1" t="s">
        <v>214</v>
      </c>
      <c r="F113" s="1" t="s">
        <v>225</v>
      </c>
      <c r="G113" s="1" t="s">
        <v>176</v>
      </c>
      <c r="H113" s="1">
        <v>1997</v>
      </c>
      <c r="I113" s="1">
        <f>INT(11316*0.09)</f>
        <v>1018</v>
      </c>
      <c r="J113" s="1" t="s">
        <v>384</v>
      </c>
    </row>
    <row r="114" spans="1:10" x14ac:dyDescent="0.2">
      <c r="A114" s="1" t="s">
        <v>170</v>
      </c>
      <c r="B114" s="1" t="s">
        <v>172</v>
      </c>
      <c r="C114" s="1">
        <v>1998</v>
      </c>
      <c r="D114" s="1" t="s">
        <v>173</v>
      </c>
      <c r="E114" s="1" t="s">
        <v>214</v>
      </c>
      <c r="F114" s="1" t="s">
        <v>228</v>
      </c>
      <c r="G114" s="1" t="s">
        <v>176</v>
      </c>
      <c r="H114" s="1">
        <v>1997</v>
      </c>
      <c r="I114" s="1">
        <f>INT(11316*0.015)</f>
        <v>169</v>
      </c>
      <c r="J114" s="1" t="s">
        <v>227</v>
      </c>
    </row>
    <row r="115" spans="1:10" x14ac:dyDescent="0.2">
      <c r="A115" s="1" t="s">
        <v>170</v>
      </c>
      <c r="B115" s="1" t="s">
        <v>172</v>
      </c>
      <c r="C115" s="1">
        <v>1998</v>
      </c>
      <c r="D115" s="1" t="s">
        <v>173</v>
      </c>
      <c r="E115" s="1" t="s">
        <v>214</v>
      </c>
      <c r="F115" s="1" t="s">
        <v>229</v>
      </c>
      <c r="G115" s="1" t="s">
        <v>176</v>
      </c>
      <c r="H115" s="1">
        <v>1997</v>
      </c>
      <c r="I115" s="1">
        <f>INT(11316*0.01515)</f>
        <v>171</v>
      </c>
      <c r="J115" s="1" t="s">
        <v>428</v>
      </c>
    </row>
    <row r="116" spans="1:10" x14ac:dyDescent="0.2">
      <c r="A116" s="1" t="s">
        <v>170</v>
      </c>
      <c r="B116" s="1" t="s">
        <v>172</v>
      </c>
      <c r="C116" s="1">
        <v>1998</v>
      </c>
      <c r="D116" s="1" t="s">
        <v>173</v>
      </c>
      <c r="E116" s="1" t="s">
        <v>216</v>
      </c>
      <c r="F116" s="1" t="s">
        <v>239</v>
      </c>
      <c r="G116" s="1" t="s">
        <v>176</v>
      </c>
      <c r="H116" s="1">
        <v>1995</v>
      </c>
      <c r="I116" s="1">
        <v>7635</v>
      </c>
    </row>
    <row r="117" spans="1:10" x14ac:dyDescent="0.2">
      <c r="A117" s="1" t="s">
        <v>170</v>
      </c>
      <c r="B117" s="1" t="s">
        <v>172</v>
      </c>
      <c r="C117" s="1">
        <v>1998</v>
      </c>
      <c r="D117" s="1" t="s">
        <v>173</v>
      </c>
      <c r="E117" s="1" t="s">
        <v>216</v>
      </c>
      <c r="F117" s="1" t="s">
        <v>238</v>
      </c>
      <c r="G117" s="1" t="s">
        <v>176</v>
      </c>
      <c r="H117" s="1">
        <v>1995</v>
      </c>
      <c r="I117" s="1">
        <v>85</v>
      </c>
    </row>
    <row r="118" spans="1:10" x14ac:dyDescent="0.2">
      <c r="A118" s="1" t="s">
        <v>170</v>
      </c>
      <c r="B118" s="1" t="s">
        <v>172</v>
      </c>
      <c r="C118" s="1">
        <v>1998</v>
      </c>
      <c r="D118" s="1" t="s">
        <v>173</v>
      </c>
      <c r="E118" s="1" t="s">
        <v>216</v>
      </c>
      <c r="F118" s="1" t="s">
        <v>240</v>
      </c>
      <c r="G118" s="1" t="s">
        <v>176</v>
      </c>
      <c r="H118" s="1">
        <v>1995</v>
      </c>
      <c r="I118" s="1">
        <v>1495</v>
      </c>
    </row>
    <row r="119" spans="1:10" x14ac:dyDescent="0.2">
      <c r="A119" s="1" t="s">
        <v>170</v>
      </c>
      <c r="B119" s="1" t="s">
        <v>172</v>
      </c>
      <c r="C119" s="1">
        <v>1998</v>
      </c>
      <c r="D119" s="1" t="s">
        <v>173</v>
      </c>
      <c r="E119" s="1" t="s">
        <v>216</v>
      </c>
      <c r="F119" s="1" t="s">
        <v>205</v>
      </c>
      <c r="G119" s="1" t="s">
        <v>176</v>
      </c>
      <c r="H119" s="1">
        <v>1995</v>
      </c>
      <c r="I119" s="1">
        <v>1176</v>
      </c>
    </row>
    <row r="120" spans="1:10" x14ac:dyDescent="0.2">
      <c r="A120" s="1" t="s">
        <v>170</v>
      </c>
      <c r="B120" s="1" t="s">
        <v>172</v>
      </c>
      <c r="C120" s="1">
        <v>1998</v>
      </c>
      <c r="D120" s="1" t="s">
        <v>173</v>
      </c>
      <c r="E120" s="1" t="s">
        <v>216</v>
      </c>
      <c r="F120" s="1" t="s">
        <v>241</v>
      </c>
      <c r="G120" s="1" t="s">
        <v>176</v>
      </c>
      <c r="H120" s="1">
        <v>1995</v>
      </c>
      <c r="I120" s="1">
        <v>715</v>
      </c>
    </row>
    <row r="121" spans="1:10" x14ac:dyDescent="0.2">
      <c r="A121" s="1" t="s">
        <v>170</v>
      </c>
      <c r="B121" s="1" t="s">
        <v>172</v>
      </c>
      <c r="C121" s="1">
        <v>1998</v>
      </c>
      <c r="D121" s="1" t="s">
        <v>173</v>
      </c>
      <c r="E121" s="1" t="s">
        <v>216</v>
      </c>
      <c r="F121" s="1" t="s">
        <v>242</v>
      </c>
      <c r="G121" s="1" t="s">
        <v>176</v>
      </c>
      <c r="H121" s="1">
        <v>1995</v>
      </c>
      <c r="I121" s="1">
        <v>5</v>
      </c>
    </row>
    <row r="122" spans="1:10" x14ac:dyDescent="0.2">
      <c r="A122" s="1" t="s">
        <v>170</v>
      </c>
      <c r="B122" s="1" t="s">
        <v>172</v>
      </c>
      <c r="C122" s="1">
        <v>1998</v>
      </c>
      <c r="D122" s="1" t="s">
        <v>173</v>
      </c>
      <c r="E122" s="1" t="s">
        <v>216</v>
      </c>
      <c r="F122" s="1" t="s">
        <v>243</v>
      </c>
      <c r="G122" s="1" t="s">
        <v>176</v>
      </c>
      <c r="H122" s="1">
        <v>1995</v>
      </c>
      <c r="I122" s="1">
        <v>2</v>
      </c>
    </row>
    <row r="123" spans="1:10" x14ac:dyDescent="0.2">
      <c r="A123" s="1" t="s">
        <v>170</v>
      </c>
      <c r="B123" s="1" t="s">
        <v>172</v>
      </c>
      <c r="C123" s="1">
        <v>1998</v>
      </c>
      <c r="D123" s="1" t="s">
        <v>173</v>
      </c>
      <c r="E123" s="1" t="s">
        <v>219</v>
      </c>
      <c r="F123" s="1" t="s">
        <v>219</v>
      </c>
      <c r="G123" s="1" t="s">
        <v>176</v>
      </c>
      <c r="H123" s="1">
        <v>1995</v>
      </c>
      <c r="I123" s="1">
        <v>11113</v>
      </c>
    </row>
    <row r="124" spans="1:10" x14ac:dyDescent="0.2">
      <c r="A124" s="1" t="s">
        <v>170</v>
      </c>
      <c r="B124" s="1" t="s">
        <v>172</v>
      </c>
      <c r="C124" s="1">
        <v>1998</v>
      </c>
      <c r="D124" s="1" t="s">
        <v>173</v>
      </c>
      <c r="E124" s="1" t="s">
        <v>216</v>
      </c>
      <c r="F124" s="1" t="s">
        <v>239</v>
      </c>
      <c r="G124" s="1" t="s">
        <v>176</v>
      </c>
      <c r="H124" s="1">
        <v>1996</v>
      </c>
      <c r="I124" s="1">
        <v>7645</v>
      </c>
    </row>
    <row r="125" spans="1:10" x14ac:dyDescent="0.2">
      <c r="A125" s="1" t="s">
        <v>170</v>
      </c>
      <c r="B125" s="1" t="s">
        <v>172</v>
      </c>
      <c r="C125" s="1">
        <v>1998</v>
      </c>
      <c r="D125" s="1" t="s">
        <v>173</v>
      </c>
      <c r="E125" s="1" t="s">
        <v>216</v>
      </c>
      <c r="F125" s="1" t="s">
        <v>238</v>
      </c>
      <c r="G125" s="1" t="s">
        <v>176</v>
      </c>
      <c r="H125" s="1">
        <v>1996</v>
      </c>
      <c r="I125" s="1">
        <v>96</v>
      </c>
    </row>
    <row r="126" spans="1:10" x14ac:dyDescent="0.2">
      <c r="A126" s="1" t="s">
        <v>170</v>
      </c>
      <c r="B126" s="1" t="s">
        <v>172</v>
      </c>
      <c r="C126" s="1">
        <v>1998</v>
      </c>
      <c r="D126" s="1" t="s">
        <v>173</v>
      </c>
      <c r="E126" s="1" t="s">
        <v>216</v>
      </c>
      <c r="F126" s="1" t="s">
        <v>240</v>
      </c>
      <c r="G126" s="1" t="s">
        <v>176</v>
      </c>
      <c r="H126" s="1">
        <v>1996</v>
      </c>
      <c r="I126" s="1">
        <v>1550</v>
      </c>
    </row>
    <row r="127" spans="1:10" x14ac:dyDescent="0.2">
      <c r="A127" s="1" t="s">
        <v>170</v>
      </c>
      <c r="B127" s="1" t="s">
        <v>172</v>
      </c>
      <c r="C127" s="1">
        <v>1998</v>
      </c>
      <c r="D127" s="1" t="s">
        <v>173</v>
      </c>
      <c r="E127" s="1" t="s">
        <v>216</v>
      </c>
      <c r="F127" s="1" t="s">
        <v>205</v>
      </c>
      <c r="G127" s="1" t="s">
        <v>176</v>
      </c>
      <c r="H127" s="1">
        <v>1996</v>
      </c>
      <c r="I127" s="1">
        <v>1179</v>
      </c>
    </row>
    <row r="128" spans="1:10" x14ac:dyDescent="0.2">
      <c r="A128" s="1" t="s">
        <v>170</v>
      </c>
      <c r="B128" s="1" t="s">
        <v>172</v>
      </c>
      <c r="C128" s="1">
        <v>1998</v>
      </c>
      <c r="D128" s="1" t="s">
        <v>173</v>
      </c>
      <c r="E128" s="1" t="s">
        <v>216</v>
      </c>
      <c r="F128" s="1" t="s">
        <v>241</v>
      </c>
      <c r="G128" s="1" t="s">
        <v>176</v>
      </c>
      <c r="H128" s="1">
        <v>1996</v>
      </c>
      <c r="I128" s="1">
        <v>730</v>
      </c>
    </row>
    <row r="129" spans="1:10" x14ac:dyDescent="0.2">
      <c r="A129" s="1" t="s">
        <v>170</v>
      </c>
      <c r="B129" s="1" t="s">
        <v>172</v>
      </c>
      <c r="C129" s="1">
        <v>1998</v>
      </c>
      <c r="D129" s="1" t="s">
        <v>173</v>
      </c>
      <c r="E129" s="1" t="s">
        <v>216</v>
      </c>
      <c r="F129" s="1" t="s">
        <v>242</v>
      </c>
      <c r="G129" s="1" t="s">
        <v>176</v>
      </c>
      <c r="H129" s="1">
        <v>1996</v>
      </c>
      <c r="I129" s="1">
        <v>5</v>
      </c>
    </row>
    <row r="130" spans="1:10" x14ac:dyDescent="0.2">
      <c r="A130" s="1" t="s">
        <v>170</v>
      </c>
      <c r="B130" s="1" t="s">
        <v>172</v>
      </c>
      <c r="C130" s="1">
        <v>1998</v>
      </c>
      <c r="D130" s="1" t="s">
        <v>173</v>
      </c>
      <c r="E130" s="1" t="s">
        <v>216</v>
      </c>
      <c r="F130" s="1" t="s">
        <v>243</v>
      </c>
      <c r="G130" s="1" t="s">
        <v>176</v>
      </c>
      <c r="H130" s="1">
        <v>1996</v>
      </c>
      <c r="I130" s="1">
        <v>2</v>
      </c>
    </row>
    <row r="131" spans="1:10" x14ac:dyDescent="0.2">
      <c r="A131" s="1" t="s">
        <v>170</v>
      </c>
      <c r="B131" s="1" t="s">
        <v>172</v>
      </c>
      <c r="C131" s="1">
        <v>1998</v>
      </c>
      <c r="D131" s="1" t="s">
        <v>173</v>
      </c>
      <c r="E131" s="1" t="s">
        <v>219</v>
      </c>
      <c r="F131" s="1" t="s">
        <v>219</v>
      </c>
      <c r="G131" s="1" t="s">
        <v>176</v>
      </c>
      <c r="H131" s="1">
        <v>1996</v>
      </c>
      <c r="I131" s="1">
        <v>11207</v>
      </c>
    </row>
    <row r="132" spans="1:10" x14ac:dyDescent="0.2">
      <c r="A132" s="1" t="s">
        <v>170</v>
      </c>
      <c r="B132" s="1" t="s">
        <v>172</v>
      </c>
      <c r="C132" s="1">
        <v>1998</v>
      </c>
      <c r="D132" s="1" t="s">
        <v>173</v>
      </c>
      <c r="E132" s="1" t="s">
        <v>216</v>
      </c>
      <c r="F132" s="1" t="s">
        <v>239</v>
      </c>
      <c r="G132" s="1" t="s">
        <v>176</v>
      </c>
      <c r="H132" s="1">
        <v>1997</v>
      </c>
      <c r="I132" s="1">
        <v>7655</v>
      </c>
    </row>
    <row r="133" spans="1:10" x14ac:dyDescent="0.2">
      <c r="A133" s="1" t="s">
        <v>170</v>
      </c>
      <c r="B133" s="1" t="s">
        <v>172</v>
      </c>
      <c r="C133" s="1">
        <v>1998</v>
      </c>
      <c r="D133" s="1" t="s">
        <v>173</v>
      </c>
      <c r="E133" s="1" t="s">
        <v>216</v>
      </c>
      <c r="F133" s="1" t="s">
        <v>238</v>
      </c>
      <c r="G133" s="1" t="s">
        <v>176</v>
      </c>
      <c r="H133" s="1">
        <v>1997</v>
      </c>
      <c r="I133" s="1">
        <v>116</v>
      </c>
    </row>
    <row r="134" spans="1:10" x14ac:dyDescent="0.2">
      <c r="A134" s="1" t="s">
        <v>170</v>
      </c>
      <c r="B134" s="1" t="s">
        <v>172</v>
      </c>
      <c r="C134" s="1">
        <v>1998</v>
      </c>
      <c r="D134" s="1" t="s">
        <v>173</v>
      </c>
      <c r="E134" s="1" t="s">
        <v>216</v>
      </c>
      <c r="F134" s="1" t="s">
        <v>240</v>
      </c>
      <c r="G134" s="1" t="s">
        <v>176</v>
      </c>
      <c r="H134" s="1">
        <v>1997</v>
      </c>
      <c r="I134" s="1">
        <v>1607</v>
      </c>
    </row>
    <row r="135" spans="1:10" x14ac:dyDescent="0.2">
      <c r="A135" s="1" t="s">
        <v>170</v>
      </c>
      <c r="B135" s="1" t="s">
        <v>172</v>
      </c>
      <c r="C135" s="1">
        <v>1998</v>
      </c>
      <c r="D135" s="1" t="s">
        <v>173</v>
      </c>
      <c r="E135" s="1" t="s">
        <v>216</v>
      </c>
      <c r="F135" s="1" t="s">
        <v>205</v>
      </c>
      <c r="G135" s="1" t="s">
        <v>176</v>
      </c>
      <c r="H135" s="1">
        <v>1997</v>
      </c>
      <c r="I135" s="1">
        <v>1186</v>
      </c>
    </row>
    <row r="136" spans="1:10" x14ac:dyDescent="0.2">
      <c r="A136" s="1" t="s">
        <v>170</v>
      </c>
      <c r="B136" s="1" t="s">
        <v>172</v>
      </c>
      <c r="C136" s="1">
        <v>1998</v>
      </c>
      <c r="D136" s="1" t="s">
        <v>173</v>
      </c>
      <c r="E136" s="1" t="s">
        <v>216</v>
      </c>
      <c r="F136" s="1" t="s">
        <v>241</v>
      </c>
      <c r="G136" s="1" t="s">
        <v>176</v>
      </c>
      <c r="H136" s="1">
        <v>1997</v>
      </c>
      <c r="I136" s="1">
        <v>748</v>
      </c>
    </row>
    <row r="137" spans="1:10" x14ac:dyDescent="0.2">
      <c r="A137" s="1" t="s">
        <v>170</v>
      </c>
      <c r="B137" s="1" t="s">
        <v>172</v>
      </c>
      <c r="C137" s="1">
        <v>1998</v>
      </c>
      <c r="D137" s="1" t="s">
        <v>173</v>
      </c>
      <c r="E137" s="1" t="s">
        <v>216</v>
      </c>
      <c r="F137" s="1" t="s">
        <v>242</v>
      </c>
      <c r="G137" s="1" t="s">
        <v>176</v>
      </c>
      <c r="H137" s="1">
        <v>1997</v>
      </c>
      <c r="I137" s="1">
        <v>5</v>
      </c>
    </row>
    <row r="138" spans="1:10" x14ac:dyDescent="0.2">
      <c r="A138" s="1" t="s">
        <v>170</v>
      </c>
      <c r="B138" s="1" t="s">
        <v>172</v>
      </c>
      <c r="C138" s="1">
        <v>1998</v>
      </c>
      <c r="D138" s="1" t="s">
        <v>173</v>
      </c>
      <c r="E138" s="1" t="s">
        <v>216</v>
      </c>
      <c r="F138" s="1" t="s">
        <v>243</v>
      </c>
      <c r="G138" s="1" t="s">
        <v>176</v>
      </c>
      <c r="H138" s="1">
        <v>1997</v>
      </c>
      <c r="I138" s="1">
        <v>2</v>
      </c>
    </row>
    <row r="139" spans="1:10" x14ac:dyDescent="0.2">
      <c r="A139" s="1" t="s">
        <v>170</v>
      </c>
      <c r="B139" s="1" t="s">
        <v>172</v>
      </c>
      <c r="C139" s="1">
        <v>1998</v>
      </c>
      <c r="D139" s="1" t="s">
        <v>173</v>
      </c>
      <c r="E139" s="1" t="s">
        <v>219</v>
      </c>
      <c r="F139" s="1" t="s">
        <v>219</v>
      </c>
      <c r="G139" s="1" t="s">
        <v>176</v>
      </c>
      <c r="H139" s="1">
        <v>1997</v>
      </c>
      <c r="I139" s="1">
        <v>11316</v>
      </c>
    </row>
    <row r="140" spans="1:10" x14ac:dyDescent="0.2">
      <c r="A140" s="1" t="s">
        <v>170</v>
      </c>
      <c r="B140" s="1" t="s">
        <v>172</v>
      </c>
      <c r="C140" s="1">
        <v>2003</v>
      </c>
      <c r="D140" s="1" t="s">
        <v>173</v>
      </c>
      <c r="E140" s="1" t="s">
        <v>216</v>
      </c>
      <c r="F140" s="1" t="s">
        <v>217</v>
      </c>
      <c r="G140" s="1" t="s">
        <v>176</v>
      </c>
      <c r="H140" s="1">
        <v>2002</v>
      </c>
      <c r="I140" s="1">
        <f>10971-3326</f>
        <v>7645</v>
      </c>
    </row>
    <row r="141" spans="1:10" x14ac:dyDescent="0.2">
      <c r="A141" s="1" t="s">
        <v>170</v>
      </c>
      <c r="B141" s="1" t="s">
        <v>172</v>
      </c>
      <c r="C141" s="1">
        <v>2003</v>
      </c>
      <c r="D141" s="1" t="s">
        <v>173</v>
      </c>
      <c r="E141" s="1" t="s">
        <v>216</v>
      </c>
      <c r="F141" s="1" t="s">
        <v>218</v>
      </c>
      <c r="G141" s="1" t="s">
        <v>176</v>
      </c>
      <c r="H141" s="1">
        <v>2002</v>
      </c>
      <c r="I141" s="1">
        <v>3326</v>
      </c>
    </row>
    <row r="142" spans="1:10" x14ac:dyDescent="0.2">
      <c r="A142" s="1" t="s">
        <v>170</v>
      </c>
      <c r="B142" s="1" t="s">
        <v>172</v>
      </c>
      <c r="C142" s="1">
        <v>2003</v>
      </c>
      <c r="D142" s="1" t="s">
        <v>173</v>
      </c>
      <c r="E142" s="1" t="s">
        <v>219</v>
      </c>
      <c r="F142" s="1" t="s">
        <v>219</v>
      </c>
      <c r="G142" s="1" t="s">
        <v>176</v>
      </c>
      <c r="H142" s="1">
        <v>2002</v>
      </c>
      <c r="I142" s="1">
        <v>10971</v>
      </c>
    </row>
    <row r="143" spans="1:10" x14ac:dyDescent="0.2">
      <c r="A143" s="1" t="s">
        <v>170</v>
      </c>
      <c r="B143" s="1" t="s">
        <v>172</v>
      </c>
      <c r="C143" s="1">
        <v>2003</v>
      </c>
      <c r="D143" s="1" t="s">
        <v>173</v>
      </c>
      <c r="E143" s="1" t="s">
        <v>214</v>
      </c>
      <c r="F143" s="1" t="s">
        <v>215</v>
      </c>
      <c r="G143" s="1" t="s">
        <v>176</v>
      </c>
      <c r="H143" s="1">
        <v>2002</v>
      </c>
      <c r="I143" s="1">
        <f>INT(10971*0.92)</f>
        <v>10093</v>
      </c>
      <c r="J143" s="1" t="s">
        <v>458</v>
      </c>
    </row>
    <row r="144" spans="1:10" x14ac:dyDescent="0.2">
      <c r="A144" s="1" t="s">
        <v>170</v>
      </c>
      <c r="B144" s="1" t="s">
        <v>172</v>
      </c>
      <c r="C144" s="1">
        <v>2003</v>
      </c>
      <c r="D144" s="1" t="s">
        <v>173</v>
      </c>
      <c r="E144" s="1" t="s">
        <v>214</v>
      </c>
      <c r="F144" s="1" t="s">
        <v>225</v>
      </c>
      <c r="G144" s="1" t="s">
        <v>176</v>
      </c>
      <c r="H144" s="1">
        <v>2002</v>
      </c>
      <c r="I144" s="1">
        <f>INT(10971*0.05)</f>
        <v>548</v>
      </c>
      <c r="J144" s="1" t="s">
        <v>459</v>
      </c>
    </row>
    <row r="145" spans="1:10" x14ac:dyDescent="0.2">
      <c r="A145" s="1" t="s">
        <v>170</v>
      </c>
      <c r="B145" s="1" t="s">
        <v>172</v>
      </c>
      <c r="C145" s="1">
        <v>2003</v>
      </c>
      <c r="D145" s="1" t="s">
        <v>173</v>
      </c>
      <c r="E145" s="1" t="s">
        <v>214</v>
      </c>
      <c r="F145" s="1" t="s">
        <v>228</v>
      </c>
      <c r="G145" s="1" t="s">
        <v>176</v>
      </c>
      <c r="H145" s="1">
        <v>2002</v>
      </c>
      <c r="I145" s="1">
        <f>10971-I143-I144-I146</f>
        <v>221</v>
      </c>
      <c r="J145" s="1" t="s">
        <v>461</v>
      </c>
    </row>
    <row r="146" spans="1:10" x14ac:dyDescent="0.2">
      <c r="A146" s="1" t="s">
        <v>170</v>
      </c>
      <c r="B146" s="1" t="s">
        <v>172</v>
      </c>
      <c r="C146" s="1">
        <v>2003</v>
      </c>
      <c r="D146" s="1" t="s">
        <v>173</v>
      </c>
      <c r="E146" s="1" t="s">
        <v>214</v>
      </c>
      <c r="F146" s="1" t="s">
        <v>229</v>
      </c>
      <c r="G146" s="1" t="s">
        <v>176</v>
      </c>
      <c r="H146" s="1">
        <v>2002</v>
      </c>
      <c r="I146" s="1">
        <f>INT(10971*0.01)</f>
        <v>109</v>
      </c>
      <c r="J146" s="1" t="s">
        <v>460</v>
      </c>
    </row>
    <row r="147" spans="1:10" x14ac:dyDescent="0.2">
      <c r="A147" s="1" t="s">
        <v>170</v>
      </c>
      <c r="B147" s="1" t="s">
        <v>172</v>
      </c>
      <c r="C147" s="1">
        <v>2003</v>
      </c>
      <c r="D147" s="1" t="s">
        <v>173</v>
      </c>
      <c r="E147" s="1" t="s">
        <v>216</v>
      </c>
      <c r="F147" s="1" t="s">
        <v>239</v>
      </c>
      <c r="G147" s="1" t="s">
        <v>176</v>
      </c>
      <c r="H147" s="1">
        <v>1998</v>
      </c>
      <c r="I147" s="1">
        <v>7722</v>
      </c>
    </row>
    <row r="148" spans="1:10" x14ac:dyDescent="0.2">
      <c r="A148" s="1" t="s">
        <v>170</v>
      </c>
      <c r="B148" s="1" t="s">
        <v>172</v>
      </c>
      <c r="C148" s="1">
        <v>2003</v>
      </c>
      <c r="D148" s="1" t="s">
        <v>173</v>
      </c>
      <c r="E148" s="1" t="s">
        <v>216</v>
      </c>
      <c r="F148" s="1" t="s">
        <v>238</v>
      </c>
      <c r="G148" s="1" t="s">
        <v>176</v>
      </c>
      <c r="H148" s="1">
        <v>1998</v>
      </c>
      <c r="I148" s="1">
        <v>172</v>
      </c>
    </row>
    <row r="149" spans="1:10" x14ac:dyDescent="0.2">
      <c r="A149" s="1" t="s">
        <v>170</v>
      </c>
      <c r="B149" s="1" t="s">
        <v>172</v>
      </c>
      <c r="C149" s="1">
        <v>2003</v>
      </c>
      <c r="D149" s="1" t="s">
        <v>173</v>
      </c>
      <c r="E149" s="1" t="s">
        <v>216</v>
      </c>
      <c r="F149" s="1" t="s">
        <v>240</v>
      </c>
      <c r="G149" s="1" t="s">
        <v>176</v>
      </c>
      <c r="H149" s="1">
        <v>1998</v>
      </c>
      <c r="I149" s="1">
        <v>1765</v>
      </c>
    </row>
    <row r="150" spans="1:10" x14ac:dyDescent="0.2">
      <c r="A150" s="1" t="s">
        <v>170</v>
      </c>
      <c r="B150" s="1" t="s">
        <v>172</v>
      </c>
      <c r="C150" s="1">
        <v>2003</v>
      </c>
      <c r="D150" s="1" t="s">
        <v>173</v>
      </c>
      <c r="E150" s="1" t="s">
        <v>216</v>
      </c>
      <c r="F150" s="1" t="s">
        <v>205</v>
      </c>
      <c r="G150" s="1" t="s">
        <v>176</v>
      </c>
      <c r="H150" s="1">
        <v>1998</v>
      </c>
      <c r="I150" s="1">
        <v>1200</v>
      </c>
    </row>
    <row r="151" spans="1:10" x14ac:dyDescent="0.2">
      <c r="A151" s="1" t="s">
        <v>170</v>
      </c>
      <c r="B151" s="1" t="s">
        <v>172</v>
      </c>
      <c r="C151" s="1">
        <v>2003</v>
      </c>
      <c r="D151" s="1" t="s">
        <v>173</v>
      </c>
      <c r="E151" s="1" t="s">
        <v>216</v>
      </c>
      <c r="F151" s="1" t="s">
        <v>241</v>
      </c>
      <c r="G151" s="1" t="s">
        <v>176</v>
      </c>
      <c r="H151" s="1">
        <v>1998</v>
      </c>
      <c r="I151" s="1">
        <v>779</v>
      </c>
    </row>
    <row r="152" spans="1:10" x14ac:dyDescent="0.2">
      <c r="A152" s="1" t="s">
        <v>170</v>
      </c>
      <c r="B152" s="1" t="s">
        <v>172</v>
      </c>
      <c r="C152" s="1">
        <v>2003</v>
      </c>
      <c r="D152" s="1" t="s">
        <v>173</v>
      </c>
      <c r="E152" s="1" t="s">
        <v>216</v>
      </c>
      <c r="F152" s="1" t="s">
        <v>242</v>
      </c>
      <c r="G152" s="1" t="s">
        <v>176</v>
      </c>
      <c r="H152" s="1">
        <v>1998</v>
      </c>
      <c r="I152" s="1">
        <v>5</v>
      </c>
    </row>
    <row r="153" spans="1:10" x14ac:dyDescent="0.2">
      <c r="A153" s="1" t="s">
        <v>170</v>
      </c>
      <c r="B153" s="1" t="s">
        <v>172</v>
      </c>
      <c r="C153" s="1">
        <v>2003</v>
      </c>
      <c r="D153" s="1" t="s">
        <v>173</v>
      </c>
      <c r="E153" s="1" t="s">
        <v>216</v>
      </c>
      <c r="F153" s="1" t="s">
        <v>243</v>
      </c>
      <c r="G153" s="1" t="s">
        <v>176</v>
      </c>
      <c r="H153" s="1">
        <v>1998</v>
      </c>
      <c r="I153" s="1">
        <v>2</v>
      </c>
    </row>
    <row r="154" spans="1:10" x14ac:dyDescent="0.2">
      <c r="A154" s="1" t="s">
        <v>170</v>
      </c>
      <c r="B154" s="1" t="s">
        <v>172</v>
      </c>
      <c r="C154" s="1">
        <v>2003</v>
      </c>
      <c r="D154" s="1" t="s">
        <v>173</v>
      </c>
      <c r="E154" s="1" t="s">
        <v>219</v>
      </c>
      <c r="F154" s="1" t="s">
        <v>219</v>
      </c>
      <c r="G154" s="1" t="s">
        <v>176</v>
      </c>
      <c r="H154" s="1">
        <v>1998</v>
      </c>
      <c r="I154" s="1">
        <v>11645</v>
      </c>
    </row>
    <row r="155" spans="1:10" x14ac:dyDescent="0.2">
      <c r="A155" s="1" t="s">
        <v>170</v>
      </c>
      <c r="B155" s="1" t="s">
        <v>172</v>
      </c>
      <c r="C155" s="1">
        <v>2003</v>
      </c>
      <c r="D155" s="1" t="s">
        <v>173</v>
      </c>
      <c r="E155" s="1" t="s">
        <v>216</v>
      </c>
      <c r="F155" s="1" t="s">
        <v>239</v>
      </c>
      <c r="G155" s="1" t="s">
        <v>176</v>
      </c>
      <c r="H155" s="1">
        <v>1999</v>
      </c>
      <c r="I155" s="1">
        <v>7612</v>
      </c>
    </row>
    <row r="156" spans="1:10" x14ac:dyDescent="0.2">
      <c r="A156" s="1" t="s">
        <v>170</v>
      </c>
      <c r="B156" s="1" t="s">
        <v>172</v>
      </c>
      <c r="C156" s="1">
        <v>2003</v>
      </c>
      <c r="D156" s="1" t="s">
        <v>173</v>
      </c>
      <c r="E156" s="1" t="s">
        <v>216</v>
      </c>
      <c r="F156" s="1" t="s">
        <v>238</v>
      </c>
      <c r="G156" s="1" t="s">
        <v>176</v>
      </c>
      <c r="H156" s="1">
        <v>1999</v>
      </c>
      <c r="I156" s="1">
        <v>208</v>
      </c>
    </row>
    <row r="157" spans="1:10" x14ac:dyDescent="0.2">
      <c r="A157" s="1" t="s">
        <v>170</v>
      </c>
      <c r="B157" s="1" t="s">
        <v>172</v>
      </c>
      <c r="C157" s="1">
        <v>2003</v>
      </c>
      <c r="D157" s="1" t="s">
        <v>173</v>
      </c>
      <c r="E157" s="1" t="s">
        <v>216</v>
      </c>
      <c r="F157" s="1" t="s">
        <v>240</v>
      </c>
      <c r="G157" s="1" t="s">
        <v>176</v>
      </c>
      <c r="H157" s="1">
        <v>1999</v>
      </c>
      <c r="I157" s="1">
        <v>1739</v>
      </c>
    </row>
    <row r="158" spans="1:10" x14ac:dyDescent="0.2">
      <c r="A158" s="1" t="s">
        <v>170</v>
      </c>
      <c r="B158" s="1" t="s">
        <v>172</v>
      </c>
      <c r="C158" s="1">
        <v>2003</v>
      </c>
      <c r="D158" s="1" t="s">
        <v>173</v>
      </c>
      <c r="E158" s="1" t="s">
        <v>216</v>
      </c>
      <c r="F158" s="1" t="s">
        <v>205</v>
      </c>
      <c r="G158" s="1" t="s">
        <v>176</v>
      </c>
      <c r="H158" s="1">
        <v>1999</v>
      </c>
      <c r="I158" s="1">
        <v>1171</v>
      </c>
    </row>
    <row r="159" spans="1:10" x14ac:dyDescent="0.2">
      <c r="A159" s="1" t="s">
        <v>170</v>
      </c>
      <c r="B159" s="1" t="s">
        <v>172</v>
      </c>
      <c r="C159" s="1">
        <v>2003</v>
      </c>
      <c r="D159" s="1" t="s">
        <v>173</v>
      </c>
      <c r="E159" s="1" t="s">
        <v>216</v>
      </c>
      <c r="F159" s="1" t="s">
        <v>241</v>
      </c>
      <c r="G159" s="1" t="s">
        <v>176</v>
      </c>
      <c r="H159" s="1">
        <v>1999</v>
      </c>
      <c r="I159" s="1">
        <v>772</v>
      </c>
    </row>
    <row r="160" spans="1:10" x14ac:dyDescent="0.2">
      <c r="A160" s="1" t="s">
        <v>170</v>
      </c>
      <c r="B160" s="1" t="s">
        <v>172</v>
      </c>
      <c r="C160" s="1">
        <v>2003</v>
      </c>
      <c r="D160" s="1" t="s">
        <v>173</v>
      </c>
      <c r="E160" s="1" t="s">
        <v>216</v>
      </c>
      <c r="F160" s="1" t="s">
        <v>242</v>
      </c>
      <c r="G160" s="1" t="s">
        <v>176</v>
      </c>
      <c r="H160" s="1">
        <v>1999</v>
      </c>
      <c r="I160" s="1">
        <v>5</v>
      </c>
    </row>
    <row r="161" spans="1:9" x14ac:dyDescent="0.2">
      <c r="A161" s="1" t="s">
        <v>170</v>
      </c>
      <c r="B161" s="1" t="s">
        <v>172</v>
      </c>
      <c r="C161" s="1">
        <v>2003</v>
      </c>
      <c r="D161" s="1" t="s">
        <v>173</v>
      </c>
      <c r="E161" s="1" t="s">
        <v>216</v>
      </c>
      <c r="F161" s="1" t="s">
        <v>243</v>
      </c>
      <c r="G161" s="1" t="s">
        <v>176</v>
      </c>
      <c r="H161" s="1">
        <v>1999</v>
      </c>
      <c r="I161" s="1">
        <v>2</v>
      </c>
    </row>
    <row r="162" spans="1:9" x14ac:dyDescent="0.2">
      <c r="A162" s="1" t="s">
        <v>170</v>
      </c>
      <c r="B162" s="1" t="s">
        <v>172</v>
      </c>
      <c r="C162" s="1">
        <v>2003</v>
      </c>
      <c r="D162" s="1" t="s">
        <v>173</v>
      </c>
      <c r="E162" s="1" t="s">
        <v>219</v>
      </c>
      <c r="F162" s="1" t="s">
        <v>219</v>
      </c>
      <c r="G162" s="1" t="s">
        <v>176</v>
      </c>
      <c r="H162" s="1">
        <v>1999</v>
      </c>
      <c r="I162" s="1">
        <v>11509</v>
      </c>
    </row>
    <row r="163" spans="1:9" x14ac:dyDescent="0.2">
      <c r="A163" s="1" t="s">
        <v>170</v>
      </c>
      <c r="B163" s="1" t="s">
        <v>172</v>
      </c>
      <c r="C163" s="1">
        <v>2003</v>
      </c>
      <c r="D163" s="1" t="s">
        <v>173</v>
      </c>
      <c r="E163" s="1" t="s">
        <v>216</v>
      </c>
      <c r="F163" s="1" t="s">
        <v>239</v>
      </c>
      <c r="G163" s="1" t="s">
        <v>176</v>
      </c>
      <c r="H163" s="1">
        <v>2000</v>
      </c>
      <c r="I163" s="1">
        <v>7625</v>
      </c>
    </row>
    <row r="164" spans="1:9" x14ac:dyDescent="0.2">
      <c r="A164" s="1" t="s">
        <v>170</v>
      </c>
      <c r="B164" s="1" t="s">
        <v>172</v>
      </c>
      <c r="C164" s="1">
        <v>2003</v>
      </c>
      <c r="D164" s="1" t="s">
        <v>173</v>
      </c>
      <c r="E164" s="1" t="s">
        <v>216</v>
      </c>
      <c r="F164" s="1" t="s">
        <v>238</v>
      </c>
      <c r="G164" s="1" t="s">
        <v>176</v>
      </c>
      <c r="H164" s="1">
        <v>2000</v>
      </c>
      <c r="I164" s="1">
        <v>226</v>
      </c>
    </row>
    <row r="165" spans="1:9" x14ac:dyDescent="0.2">
      <c r="A165" s="1" t="s">
        <v>170</v>
      </c>
      <c r="B165" s="1" t="s">
        <v>172</v>
      </c>
      <c r="C165" s="1">
        <v>2003</v>
      </c>
      <c r="D165" s="1" t="s">
        <v>173</v>
      </c>
      <c r="E165" s="1" t="s">
        <v>216</v>
      </c>
      <c r="F165" s="1" t="s">
        <v>240</v>
      </c>
      <c r="G165" s="1" t="s">
        <v>176</v>
      </c>
      <c r="H165" s="1">
        <v>2000</v>
      </c>
      <c r="I165" s="1">
        <v>1783</v>
      </c>
    </row>
    <row r="166" spans="1:9" x14ac:dyDescent="0.2">
      <c r="A166" s="1" t="s">
        <v>170</v>
      </c>
      <c r="B166" s="1" t="s">
        <v>172</v>
      </c>
      <c r="C166" s="1">
        <v>2003</v>
      </c>
      <c r="D166" s="1" t="s">
        <v>173</v>
      </c>
      <c r="E166" s="1" t="s">
        <v>216</v>
      </c>
      <c r="F166" s="1" t="s">
        <v>205</v>
      </c>
      <c r="G166" s="1" t="s">
        <v>176</v>
      </c>
      <c r="H166" s="1">
        <v>2000</v>
      </c>
      <c r="I166" s="1">
        <v>1174</v>
      </c>
    </row>
    <row r="167" spans="1:9" x14ac:dyDescent="0.2">
      <c r="A167" s="1" t="s">
        <v>170</v>
      </c>
      <c r="B167" s="1" t="s">
        <v>172</v>
      </c>
      <c r="C167" s="1">
        <v>2003</v>
      </c>
      <c r="D167" s="1" t="s">
        <v>173</v>
      </c>
      <c r="E167" s="1" t="s">
        <v>216</v>
      </c>
      <c r="F167" s="1" t="s">
        <v>241</v>
      </c>
      <c r="G167" s="1" t="s">
        <v>176</v>
      </c>
      <c r="H167" s="1">
        <v>2000</v>
      </c>
      <c r="I167" s="1">
        <v>777</v>
      </c>
    </row>
    <row r="168" spans="1:9" x14ac:dyDescent="0.2">
      <c r="A168" s="1" t="s">
        <v>170</v>
      </c>
      <c r="B168" s="1" t="s">
        <v>172</v>
      </c>
      <c r="C168" s="1">
        <v>2003</v>
      </c>
      <c r="D168" s="1" t="s">
        <v>173</v>
      </c>
      <c r="E168" s="1" t="s">
        <v>216</v>
      </c>
      <c r="F168" s="1" t="s">
        <v>242</v>
      </c>
      <c r="G168" s="1" t="s">
        <v>176</v>
      </c>
      <c r="H168" s="1">
        <v>2000</v>
      </c>
      <c r="I168" s="1">
        <v>5</v>
      </c>
    </row>
    <row r="169" spans="1:9" x14ac:dyDescent="0.2">
      <c r="A169" s="1" t="s">
        <v>170</v>
      </c>
      <c r="B169" s="1" t="s">
        <v>172</v>
      </c>
      <c r="C169" s="1">
        <v>2003</v>
      </c>
      <c r="D169" s="1" t="s">
        <v>173</v>
      </c>
      <c r="E169" s="1" t="s">
        <v>216</v>
      </c>
      <c r="F169" s="1" t="s">
        <v>243</v>
      </c>
      <c r="G169" s="1" t="s">
        <v>176</v>
      </c>
      <c r="H169" s="1">
        <v>2000</v>
      </c>
      <c r="I169" s="1">
        <v>2</v>
      </c>
    </row>
    <row r="170" spans="1:9" x14ac:dyDescent="0.2">
      <c r="A170" s="1" t="s">
        <v>170</v>
      </c>
      <c r="B170" s="1" t="s">
        <v>172</v>
      </c>
      <c r="C170" s="1">
        <v>2003</v>
      </c>
      <c r="D170" s="1" t="s">
        <v>173</v>
      </c>
      <c r="E170" s="1" t="s">
        <v>219</v>
      </c>
      <c r="F170" s="1" t="s">
        <v>219</v>
      </c>
      <c r="G170" s="1" t="s">
        <v>176</v>
      </c>
      <c r="H170" s="1">
        <v>2000</v>
      </c>
      <c r="I170" s="1">
        <v>11592</v>
      </c>
    </row>
    <row r="171" spans="1:9" x14ac:dyDescent="0.2">
      <c r="A171" s="1" t="s">
        <v>170</v>
      </c>
      <c r="B171" s="1" t="s">
        <v>172</v>
      </c>
      <c r="C171" s="1">
        <v>2003</v>
      </c>
      <c r="D171" s="1" t="s">
        <v>173</v>
      </c>
      <c r="E171" s="1" t="s">
        <v>216</v>
      </c>
      <c r="F171" s="1" t="s">
        <v>239</v>
      </c>
      <c r="G171" s="1" t="s">
        <v>176</v>
      </c>
      <c r="H171" s="1">
        <v>2001</v>
      </c>
      <c r="I171" s="1">
        <v>7619</v>
      </c>
    </row>
    <row r="172" spans="1:9" x14ac:dyDescent="0.2">
      <c r="A172" s="1" t="s">
        <v>170</v>
      </c>
      <c r="B172" s="1" t="s">
        <v>172</v>
      </c>
      <c r="C172" s="1">
        <v>2003</v>
      </c>
      <c r="D172" s="1" t="s">
        <v>173</v>
      </c>
      <c r="E172" s="1" t="s">
        <v>216</v>
      </c>
      <c r="F172" s="1" t="s">
        <v>238</v>
      </c>
      <c r="G172" s="1" t="s">
        <v>176</v>
      </c>
      <c r="H172" s="1">
        <v>2001</v>
      </c>
      <c r="I172" s="1">
        <v>263</v>
      </c>
    </row>
    <row r="173" spans="1:9" x14ac:dyDescent="0.2">
      <c r="A173" s="1" t="s">
        <v>170</v>
      </c>
      <c r="B173" s="1" t="s">
        <v>172</v>
      </c>
      <c r="C173" s="1">
        <v>2003</v>
      </c>
      <c r="D173" s="1" t="s">
        <v>173</v>
      </c>
      <c r="E173" s="1" t="s">
        <v>216</v>
      </c>
      <c r="F173" s="1" t="s">
        <v>240</v>
      </c>
      <c r="G173" s="1" t="s">
        <v>176</v>
      </c>
      <c r="H173" s="1">
        <v>2001</v>
      </c>
      <c r="I173" s="1">
        <v>1852</v>
      </c>
    </row>
    <row r="174" spans="1:9" x14ac:dyDescent="0.2">
      <c r="A174" s="1" t="s">
        <v>170</v>
      </c>
      <c r="B174" s="1" t="s">
        <v>172</v>
      </c>
      <c r="C174" s="1">
        <v>2003</v>
      </c>
      <c r="D174" s="1" t="s">
        <v>173</v>
      </c>
      <c r="E174" s="1" t="s">
        <v>216</v>
      </c>
      <c r="F174" s="1" t="s">
        <v>205</v>
      </c>
      <c r="G174" s="1" t="s">
        <v>176</v>
      </c>
      <c r="H174" s="1">
        <v>2001</v>
      </c>
      <c r="I174" s="1">
        <v>1173</v>
      </c>
    </row>
    <row r="175" spans="1:9" x14ac:dyDescent="0.2">
      <c r="A175" s="1" t="s">
        <v>170</v>
      </c>
      <c r="B175" s="1" t="s">
        <v>172</v>
      </c>
      <c r="C175" s="1">
        <v>2003</v>
      </c>
      <c r="D175" s="1" t="s">
        <v>173</v>
      </c>
      <c r="E175" s="1" t="s">
        <v>216</v>
      </c>
      <c r="F175" s="1" t="s">
        <v>241</v>
      </c>
      <c r="G175" s="1" t="s">
        <v>176</v>
      </c>
      <c r="H175" s="1">
        <v>2001</v>
      </c>
      <c r="I175" s="1">
        <v>786</v>
      </c>
    </row>
    <row r="176" spans="1:9" x14ac:dyDescent="0.2">
      <c r="A176" s="1" t="s">
        <v>170</v>
      </c>
      <c r="B176" s="1" t="s">
        <v>172</v>
      </c>
      <c r="C176" s="1">
        <v>2003</v>
      </c>
      <c r="D176" s="1" t="s">
        <v>173</v>
      </c>
      <c r="E176" s="1" t="s">
        <v>216</v>
      </c>
      <c r="F176" s="1" t="s">
        <v>242</v>
      </c>
      <c r="G176" s="1" t="s">
        <v>176</v>
      </c>
      <c r="H176" s="1">
        <v>2001</v>
      </c>
      <c r="I176" s="1">
        <v>5</v>
      </c>
    </row>
    <row r="177" spans="1:10" x14ac:dyDescent="0.2">
      <c r="A177" s="1" t="s">
        <v>170</v>
      </c>
      <c r="B177" s="1" t="s">
        <v>172</v>
      </c>
      <c r="C177" s="1">
        <v>2003</v>
      </c>
      <c r="D177" s="1" t="s">
        <v>173</v>
      </c>
      <c r="E177" s="1" t="s">
        <v>216</v>
      </c>
      <c r="F177" s="1" t="s">
        <v>243</v>
      </c>
      <c r="G177" s="1" t="s">
        <v>176</v>
      </c>
      <c r="H177" s="1">
        <v>2001</v>
      </c>
      <c r="I177" s="1">
        <v>2</v>
      </c>
    </row>
    <row r="178" spans="1:10" x14ac:dyDescent="0.2">
      <c r="A178" s="1" t="s">
        <v>170</v>
      </c>
      <c r="B178" s="1" t="s">
        <v>172</v>
      </c>
      <c r="C178" s="1">
        <v>2003</v>
      </c>
      <c r="D178" s="1" t="s">
        <v>173</v>
      </c>
      <c r="E178" s="1" t="s">
        <v>219</v>
      </c>
      <c r="F178" s="1" t="s">
        <v>219</v>
      </c>
      <c r="G178" s="1" t="s">
        <v>176</v>
      </c>
      <c r="H178" s="1">
        <v>2001</v>
      </c>
      <c r="I178" s="1">
        <v>11700</v>
      </c>
    </row>
    <row r="179" spans="1:10" x14ac:dyDescent="0.2">
      <c r="A179" s="1" t="s">
        <v>170</v>
      </c>
      <c r="B179" s="1" t="s">
        <v>172</v>
      </c>
      <c r="C179" s="1">
        <v>2003</v>
      </c>
      <c r="D179" s="1" t="s">
        <v>173</v>
      </c>
      <c r="E179" s="1" t="s">
        <v>216</v>
      </c>
      <c r="F179" s="1" t="s">
        <v>239</v>
      </c>
      <c r="G179" s="1" t="s">
        <v>176</v>
      </c>
      <c r="H179" s="1">
        <v>2002</v>
      </c>
      <c r="I179" s="1">
        <v>7644</v>
      </c>
    </row>
    <row r="180" spans="1:10" x14ac:dyDescent="0.2">
      <c r="A180" s="1" t="s">
        <v>170</v>
      </c>
      <c r="B180" s="1" t="s">
        <v>172</v>
      </c>
      <c r="C180" s="1">
        <v>2003</v>
      </c>
      <c r="D180" s="1" t="s">
        <v>173</v>
      </c>
      <c r="E180" s="1" t="s">
        <v>216</v>
      </c>
      <c r="F180" s="1" t="s">
        <v>238</v>
      </c>
      <c r="G180" s="1" t="s">
        <v>176</v>
      </c>
      <c r="H180" s="1">
        <v>2002</v>
      </c>
      <c r="I180" s="1">
        <v>265</v>
      </c>
    </row>
    <row r="181" spans="1:10" x14ac:dyDescent="0.2">
      <c r="A181" s="1" t="s">
        <v>170</v>
      </c>
      <c r="B181" s="1" t="s">
        <v>172</v>
      </c>
      <c r="C181" s="1">
        <v>2003</v>
      </c>
      <c r="D181" s="1" t="s">
        <v>173</v>
      </c>
      <c r="E181" s="1" t="s">
        <v>216</v>
      </c>
      <c r="F181" s="1" t="s">
        <v>240</v>
      </c>
      <c r="G181" s="1" t="s">
        <v>176</v>
      </c>
      <c r="H181" s="1">
        <v>2002</v>
      </c>
      <c r="I181" s="1">
        <v>1887</v>
      </c>
    </row>
    <row r="182" spans="1:10" x14ac:dyDescent="0.2">
      <c r="A182" s="1" t="s">
        <v>170</v>
      </c>
      <c r="B182" s="1" t="s">
        <v>172</v>
      </c>
      <c r="C182" s="1">
        <v>2003</v>
      </c>
      <c r="D182" s="1" t="s">
        <v>173</v>
      </c>
      <c r="E182" s="1" t="s">
        <v>216</v>
      </c>
      <c r="F182" s="1" t="s">
        <v>205</v>
      </c>
      <c r="G182" s="1" t="s">
        <v>176</v>
      </c>
      <c r="H182" s="1">
        <v>2002</v>
      </c>
      <c r="I182" s="1">
        <v>1174</v>
      </c>
    </row>
    <row r="183" spans="1:10" x14ac:dyDescent="0.2">
      <c r="A183" s="1" t="s">
        <v>170</v>
      </c>
      <c r="B183" s="1" t="s">
        <v>172</v>
      </c>
      <c r="C183" s="1">
        <v>2003</v>
      </c>
      <c r="D183" s="1" t="s">
        <v>173</v>
      </c>
      <c r="E183" s="1" t="s">
        <v>216</v>
      </c>
      <c r="F183" s="1" t="s">
        <v>241</v>
      </c>
      <c r="G183" s="1" t="s">
        <v>176</v>
      </c>
      <c r="H183" s="1">
        <v>2002</v>
      </c>
      <c r="I183" s="1">
        <v>1</v>
      </c>
      <c r="J183" s="1" t="s">
        <v>466</v>
      </c>
    </row>
    <row r="184" spans="1:10" x14ac:dyDescent="0.2">
      <c r="A184" s="1" t="s">
        <v>170</v>
      </c>
      <c r="B184" s="1" t="s">
        <v>172</v>
      </c>
      <c r="C184" s="1">
        <v>2003</v>
      </c>
      <c r="D184" s="1" t="s">
        <v>173</v>
      </c>
      <c r="E184" s="1" t="s">
        <v>216</v>
      </c>
      <c r="F184" s="1" t="s">
        <v>242</v>
      </c>
      <c r="G184" s="1" t="s">
        <v>176</v>
      </c>
      <c r="H184" s="1">
        <v>2002</v>
      </c>
      <c r="I184" s="1">
        <v>5</v>
      </c>
    </row>
    <row r="185" spans="1:10" x14ac:dyDescent="0.2">
      <c r="A185" s="1" t="s">
        <v>170</v>
      </c>
      <c r="B185" s="1" t="s">
        <v>172</v>
      </c>
      <c r="C185" s="1">
        <v>2003</v>
      </c>
      <c r="D185" s="1" t="s">
        <v>173</v>
      </c>
      <c r="E185" s="1" t="s">
        <v>216</v>
      </c>
      <c r="F185" s="1" t="s">
        <v>243</v>
      </c>
      <c r="G185" s="1" t="s">
        <v>176</v>
      </c>
      <c r="H185" s="1">
        <v>2002</v>
      </c>
      <c r="I185" s="1">
        <v>2</v>
      </c>
    </row>
    <row r="186" spans="1:10" x14ac:dyDescent="0.2">
      <c r="A186" s="1" t="s">
        <v>170</v>
      </c>
      <c r="B186" s="1" t="s">
        <v>172</v>
      </c>
      <c r="C186" s="1">
        <v>2003</v>
      </c>
      <c r="D186" s="1" t="s">
        <v>173</v>
      </c>
      <c r="E186" s="1" t="s">
        <v>219</v>
      </c>
      <c r="F186" s="1" t="s">
        <v>219</v>
      </c>
      <c r="G186" s="1" t="s">
        <v>176</v>
      </c>
      <c r="H186" s="1">
        <v>2002</v>
      </c>
      <c r="I186" s="1">
        <v>10971</v>
      </c>
    </row>
    <row r="187" spans="1:10" x14ac:dyDescent="0.2">
      <c r="A187" s="1" t="s">
        <v>170</v>
      </c>
      <c r="B187" s="1" t="s">
        <v>172</v>
      </c>
      <c r="C187" s="1">
        <v>2004</v>
      </c>
      <c r="D187" s="1" t="s">
        <v>173</v>
      </c>
      <c r="E187" s="1" t="s">
        <v>216</v>
      </c>
      <c r="F187" s="1" t="s">
        <v>239</v>
      </c>
      <c r="G187" s="1" t="s">
        <v>176</v>
      </c>
      <c r="H187" s="1">
        <v>2003</v>
      </c>
      <c r="I187" s="1">
        <v>7644</v>
      </c>
    </row>
    <row r="188" spans="1:10" x14ac:dyDescent="0.2">
      <c r="A188" s="1" t="s">
        <v>170</v>
      </c>
      <c r="B188" s="1" t="s">
        <v>172</v>
      </c>
      <c r="C188" s="1">
        <v>2004</v>
      </c>
      <c r="D188" s="1" t="s">
        <v>173</v>
      </c>
      <c r="E188" s="1" t="s">
        <v>216</v>
      </c>
      <c r="F188" s="1" t="s">
        <v>238</v>
      </c>
      <c r="G188" s="1" t="s">
        <v>176</v>
      </c>
      <c r="H188" s="1">
        <v>2003</v>
      </c>
      <c r="I188" s="1">
        <v>265</v>
      </c>
    </row>
    <row r="189" spans="1:10" x14ac:dyDescent="0.2">
      <c r="A189" s="1" t="s">
        <v>170</v>
      </c>
      <c r="B189" s="1" t="s">
        <v>172</v>
      </c>
      <c r="C189" s="1">
        <v>2004</v>
      </c>
      <c r="D189" s="1" t="s">
        <v>173</v>
      </c>
      <c r="E189" s="1" t="s">
        <v>216</v>
      </c>
      <c r="F189" s="1" t="s">
        <v>240</v>
      </c>
      <c r="G189" s="1" t="s">
        <v>176</v>
      </c>
      <c r="H189" s="1">
        <v>2003</v>
      </c>
      <c r="I189" s="1">
        <v>1887</v>
      </c>
    </row>
    <row r="190" spans="1:10" x14ac:dyDescent="0.2">
      <c r="A190" s="1" t="s">
        <v>170</v>
      </c>
      <c r="B190" s="1" t="s">
        <v>172</v>
      </c>
      <c r="C190" s="1">
        <v>2004</v>
      </c>
      <c r="D190" s="1" t="s">
        <v>173</v>
      </c>
      <c r="E190" s="1" t="s">
        <v>216</v>
      </c>
      <c r="F190" s="1" t="s">
        <v>205</v>
      </c>
      <c r="G190" s="1" t="s">
        <v>176</v>
      </c>
      <c r="H190" s="1">
        <v>2003</v>
      </c>
      <c r="I190" s="1">
        <v>1174</v>
      </c>
    </row>
    <row r="191" spans="1:10" x14ac:dyDescent="0.2">
      <c r="A191" s="1" t="s">
        <v>170</v>
      </c>
      <c r="B191" s="1" t="s">
        <v>172</v>
      </c>
      <c r="C191" s="1">
        <v>2004</v>
      </c>
      <c r="D191" s="1" t="s">
        <v>173</v>
      </c>
      <c r="E191" s="1" t="s">
        <v>216</v>
      </c>
      <c r="F191" s="1" t="s">
        <v>241</v>
      </c>
      <c r="G191" s="1" t="s">
        <v>176</v>
      </c>
      <c r="H191" s="1">
        <v>2003</v>
      </c>
      <c r="I191" s="1">
        <v>1</v>
      </c>
    </row>
    <row r="192" spans="1:10" x14ac:dyDescent="0.2">
      <c r="A192" s="1" t="s">
        <v>170</v>
      </c>
      <c r="B192" s="1" t="s">
        <v>172</v>
      </c>
      <c r="C192" s="1">
        <v>2004</v>
      </c>
      <c r="D192" s="1" t="s">
        <v>173</v>
      </c>
      <c r="E192" s="1" t="s">
        <v>216</v>
      </c>
      <c r="F192" s="1" t="s">
        <v>242</v>
      </c>
      <c r="G192" s="1" t="s">
        <v>176</v>
      </c>
      <c r="H192" s="1">
        <v>2003</v>
      </c>
      <c r="I192" s="1">
        <v>5</v>
      </c>
    </row>
    <row r="193" spans="1:9" x14ac:dyDescent="0.2">
      <c r="A193" s="1" t="s">
        <v>170</v>
      </c>
      <c r="B193" s="1" t="s">
        <v>172</v>
      </c>
      <c r="C193" s="1">
        <v>2004</v>
      </c>
      <c r="D193" s="1" t="s">
        <v>173</v>
      </c>
      <c r="E193" s="1" t="s">
        <v>216</v>
      </c>
      <c r="F193" s="1" t="s">
        <v>243</v>
      </c>
      <c r="G193" s="1" t="s">
        <v>176</v>
      </c>
      <c r="H193" s="1">
        <v>2003</v>
      </c>
      <c r="I193" s="1">
        <v>2</v>
      </c>
    </row>
    <row r="194" spans="1:9" x14ac:dyDescent="0.2">
      <c r="A194" s="1" t="s">
        <v>170</v>
      </c>
      <c r="B194" s="1" t="s">
        <v>172</v>
      </c>
      <c r="C194" s="1">
        <v>2004</v>
      </c>
      <c r="D194" s="1" t="s">
        <v>173</v>
      </c>
      <c r="E194" s="1" t="s">
        <v>219</v>
      </c>
      <c r="F194" s="1" t="s">
        <v>219</v>
      </c>
      <c r="G194" s="1" t="s">
        <v>176</v>
      </c>
      <c r="H194" s="1">
        <v>2003</v>
      </c>
      <c r="I194" s="1">
        <v>10971</v>
      </c>
    </row>
    <row r="195" spans="1:9" x14ac:dyDescent="0.2">
      <c r="A195" s="1" t="s">
        <v>170</v>
      </c>
      <c r="B195" s="1" t="s">
        <v>172</v>
      </c>
      <c r="C195" s="1">
        <v>2009</v>
      </c>
      <c r="D195" s="1" t="s">
        <v>173</v>
      </c>
      <c r="E195" s="1" t="s">
        <v>216</v>
      </c>
      <c r="F195" s="1" t="s">
        <v>217</v>
      </c>
      <c r="G195" s="1" t="s">
        <v>176</v>
      </c>
      <c r="H195" s="1">
        <v>2008</v>
      </c>
      <c r="I195" s="1">
        <f>12074-3852</f>
        <v>8222</v>
      </c>
    </row>
    <row r="196" spans="1:9" x14ac:dyDescent="0.2">
      <c r="A196" s="1" t="s">
        <v>170</v>
      </c>
      <c r="B196" s="1" t="s">
        <v>172</v>
      </c>
      <c r="C196" s="1">
        <v>2009</v>
      </c>
      <c r="D196" s="1" t="s">
        <v>173</v>
      </c>
      <c r="E196" s="1" t="s">
        <v>216</v>
      </c>
      <c r="F196" s="1" t="s">
        <v>218</v>
      </c>
      <c r="G196" s="1" t="s">
        <v>176</v>
      </c>
      <c r="H196" s="1">
        <v>2008</v>
      </c>
      <c r="I196" s="1">
        <v>3852</v>
      </c>
    </row>
    <row r="197" spans="1:9" x14ac:dyDescent="0.2">
      <c r="A197" s="1" t="s">
        <v>170</v>
      </c>
      <c r="B197" s="1" t="s">
        <v>172</v>
      </c>
      <c r="C197" s="1">
        <v>2009</v>
      </c>
      <c r="D197" s="1" t="s">
        <v>173</v>
      </c>
      <c r="E197" s="1" t="s">
        <v>219</v>
      </c>
      <c r="F197" s="1" t="s">
        <v>219</v>
      </c>
      <c r="G197" s="1" t="s">
        <v>176</v>
      </c>
      <c r="H197" s="1">
        <v>2008</v>
      </c>
      <c r="I197" s="1">
        <v>12074</v>
      </c>
    </row>
    <row r="198" spans="1:9" x14ac:dyDescent="0.2">
      <c r="A198" s="1" t="s">
        <v>170</v>
      </c>
      <c r="B198" s="1" t="s">
        <v>172</v>
      </c>
      <c r="C198" s="1">
        <v>2009</v>
      </c>
      <c r="D198" s="1" t="s">
        <v>173</v>
      </c>
      <c r="E198" s="1" t="s">
        <v>214</v>
      </c>
      <c r="F198" s="1" t="s">
        <v>215</v>
      </c>
      <c r="G198" s="1" t="s">
        <v>176</v>
      </c>
      <c r="H198" s="1">
        <v>2008</v>
      </c>
      <c r="I198" s="1">
        <f>ROUND(12074*0.92,0)</f>
        <v>11108</v>
      </c>
    </row>
    <row r="199" spans="1:9" x14ac:dyDescent="0.2">
      <c r="A199" s="1" t="s">
        <v>170</v>
      </c>
      <c r="B199" s="1" t="s">
        <v>172</v>
      </c>
      <c r="C199" s="1">
        <v>2009</v>
      </c>
      <c r="D199" s="1" t="s">
        <v>173</v>
      </c>
      <c r="E199" s="1" t="s">
        <v>214</v>
      </c>
      <c r="F199" s="1" t="s">
        <v>225</v>
      </c>
      <c r="G199" s="1" t="s">
        <v>176</v>
      </c>
      <c r="H199" s="1">
        <v>2008</v>
      </c>
      <c r="I199" s="1">
        <f>ROUND(12074*0.05,0)</f>
        <v>604</v>
      </c>
    </row>
    <row r="200" spans="1:9" x14ac:dyDescent="0.2">
      <c r="A200" s="1" t="s">
        <v>170</v>
      </c>
      <c r="B200" s="1" t="s">
        <v>172</v>
      </c>
      <c r="C200" s="1">
        <v>2009</v>
      </c>
      <c r="D200" s="1" t="s">
        <v>173</v>
      </c>
      <c r="E200" s="1" t="s">
        <v>214</v>
      </c>
      <c r="F200" s="1" t="s">
        <v>228</v>
      </c>
      <c r="G200" s="1" t="s">
        <v>176</v>
      </c>
      <c r="H200" s="1">
        <v>2008</v>
      </c>
      <c r="I200" s="1">
        <f>ROUND(12074*0.1,0)</f>
        <v>1207</v>
      </c>
    </row>
    <row r="201" spans="1:9" x14ac:dyDescent="0.2">
      <c r="A201" s="1" t="s">
        <v>170</v>
      </c>
      <c r="B201" s="1" t="s">
        <v>172</v>
      </c>
      <c r="C201" s="1">
        <v>2009</v>
      </c>
      <c r="D201" s="1" t="s">
        <v>173</v>
      </c>
      <c r="E201" s="1" t="s">
        <v>214</v>
      </c>
      <c r="F201" s="1" t="s">
        <v>229</v>
      </c>
      <c r="G201" s="1" t="s">
        <v>176</v>
      </c>
      <c r="H201" s="1">
        <v>2008</v>
      </c>
      <c r="I201" s="1">
        <f>ROUND(12074*0.01,0)</f>
        <v>121</v>
      </c>
    </row>
    <row r="202" spans="1:9" x14ac:dyDescent="0.2">
      <c r="A202" s="1" t="s">
        <v>170</v>
      </c>
      <c r="B202" s="1" t="s">
        <v>172</v>
      </c>
      <c r="C202" s="1">
        <v>2009</v>
      </c>
      <c r="D202" s="1" t="s">
        <v>173</v>
      </c>
      <c r="E202" s="1" t="s">
        <v>216</v>
      </c>
      <c r="F202" s="1" t="s">
        <v>239</v>
      </c>
      <c r="G202" s="1" t="s">
        <v>176</v>
      </c>
      <c r="H202" s="1">
        <v>2004</v>
      </c>
      <c r="I202" s="1">
        <v>7607</v>
      </c>
    </row>
    <row r="203" spans="1:9" x14ac:dyDescent="0.2">
      <c r="A203" s="1" t="s">
        <v>170</v>
      </c>
      <c r="B203" s="1" t="s">
        <v>172</v>
      </c>
      <c r="C203" s="1">
        <v>2009</v>
      </c>
      <c r="D203" s="1" t="s">
        <v>173</v>
      </c>
      <c r="E203" s="1" t="s">
        <v>216</v>
      </c>
      <c r="F203" s="1" t="s">
        <v>238</v>
      </c>
      <c r="G203" s="1" t="s">
        <v>176</v>
      </c>
      <c r="H203" s="1">
        <v>2004</v>
      </c>
      <c r="I203" s="1">
        <v>269</v>
      </c>
    </row>
    <row r="204" spans="1:9" x14ac:dyDescent="0.2">
      <c r="A204" s="1" t="s">
        <v>170</v>
      </c>
      <c r="B204" s="1" t="s">
        <v>172</v>
      </c>
      <c r="C204" s="1">
        <v>2009</v>
      </c>
      <c r="D204" s="1" t="s">
        <v>173</v>
      </c>
      <c r="E204" s="1" t="s">
        <v>216</v>
      </c>
      <c r="F204" s="1" t="s">
        <v>240</v>
      </c>
      <c r="G204" s="1" t="s">
        <v>176</v>
      </c>
      <c r="H204" s="1">
        <v>2004</v>
      </c>
      <c r="I204" s="1">
        <v>1947</v>
      </c>
    </row>
    <row r="205" spans="1:9" x14ac:dyDescent="0.2">
      <c r="A205" s="1" t="s">
        <v>170</v>
      </c>
      <c r="B205" s="1" t="s">
        <v>172</v>
      </c>
      <c r="C205" s="1">
        <v>2009</v>
      </c>
      <c r="D205" s="1" t="s">
        <v>173</v>
      </c>
      <c r="E205" s="1" t="s">
        <v>216</v>
      </c>
      <c r="F205" s="1" t="s">
        <v>205</v>
      </c>
      <c r="G205" s="1" t="s">
        <v>176</v>
      </c>
      <c r="H205" s="1">
        <v>2004</v>
      </c>
      <c r="I205" s="1">
        <v>1169</v>
      </c>
    </row>
    <row r="206" spans="1:9" x14ac:dyDescent="0.2">
      <c r="A206" s="1" t="s">
        <v>170</v>
      </c>
      <c r="B206" s="1" t="s">
        <v>172</v>
      </c>
      <c r="C206" s="1">
        <v>2009</v>
      </c>
      <c r="D206" s="1" t="s">
        <v>173</v>
      </c>
      <c r="E206" s="1" t="s">
        <v>216</v>
      </c>
      <c r="F206" s="1" t="s">
        <v>241</v>
      </c>
      <c r="G206" s="1" t="s">
        <v>176</v>
      </c>
      <c r="H206" s="1">
        <v>2004</v>
      </c>
      <c r="I206" s="1">
        <v>1</v>
      </c>
    </row>
    <row r="207" spans="1:9" x14ac:dyDescent="0.2">
      <c r="A207" s="1" t="s">
        <v>170</v>
      </c>
      <c r="B207" s="1" t="s">
        <v>172</v>
      </c>
      <c r="C207" s="1">
        <v>2009</v>
      </c>
      <c r="D207" s="1" t="s">
        <v>173</v>
      </c>
      <c r="E207" s="1" t="s">
        <v>216</v>
      </c>
      <c r="F207" s="1" t="s">
        <v>242</v>
      </c>
      <c r="G207" s="1" t="s">
        <v>176</v>
      </c>
      <c r="H207" s="1">
        <v>2004</v>
      </c>
      <c r="I207" s="1">
        <v>0</v>
      </c>
    </row>
    <row r="208" spans="1:9" x14ac:dyDescent="0.2">
      <c r="A208" s="1" t="s">
        <v>170</v>
      </c>
      <c r="B208" s="1" t="s">
        <v>172</v>
      </c>
      <c r="C208" s="1">
        <v>2009</v>
      </c>
      <c r="D208" s="1" t="s">
        <v>173</v>
      </c>
      <c r="E208" s="1" t="s">
        <v>216</v>
      </c>
      <c r="F208" s="1" t="s">
        <v>243</v>
      </c>
      <c r="G208" s="1" t="s">
        <v>176</v>
      </c>
      <c r="H208" s="1">
        <v>2004</v>
      </c>
      <c r="I208" s="1">
        <v>1</v>
      </c>
    </row>
    <row r="209" spans="1:10" x14ac:dyDescent="0.2">
      <c r="A209" s="1" t="s">
        <v>170</v>
      </c>
      <c r="B209" s="1" t="s">
        <v>172</v>
      </c>
      <c r="C209" s="1">
        <v>2009</v>
      </c>
      <c r="D209" s="1" t="s">
        <v>173</v>
      </c>
      <c r="E209" s="1" t="s">
        <v>219</v>
      </c>
      <c r="F209" s="1" t="s">
        <v>219</v>
      </c>
      <c r="G209" s="1" t="s">
        <v>176</v>
      </c>
      <c r="H209" s="1">
        <v>2004</v>
      </c>
      <c r="I209" s="1">
        <f>SUM(I202:I208)</f>
        <v>10994</v>
      </c>
    </row>
    <row r="210" spans="1:10" x14ac:dyDescent="0.2">
      <c r="A210" s="1" t="s">
        <v>170</v>
      </c>
      <c r="B210" s="1" t="s">
        <v>172</v>
      </c>
      <c r="C210" s="1">
        <v>2012</v>
      </c>
      <c r="D210" s="1" t="s">
        <v>173</v>
      </c>
      <c r="E210" s="1" t="s">
        <v>216</v>
      </c>
      <c r="F210" s="1" t="s">
        <v>217</v>
      </c>
      <c r="G210" s="1" t="s">
        <v>176</v>
      </c>
      <c r="H210" s="1">
        <v>2011</v>
      </c>
      <c r="I210" s="1">
        <f>11490-3372</f>
        <v>8118</v>
      </c>
    </row>
    <row r="211" spans="1:10" x14ac:dyDescent="0.2">
      <c r="A211" s="1" t="s">
        <v>170</v>
      </c>
      <c r="B211" s="1" t="s">
        <v>172</v>
      </c>
      <c r="C211" s="1">
        <v>2012</v>
      </c>
      <c r="D211" s="1" t="s">
        <v>173</v>
      </c>
      <c r="E211" s="1" t="s">
        <v>216</v>
      </c>
      <c r="F211" s="1" t="s">
        <v>218</v>
      </c>
      <c r="G211" s="1" t="s">
        <v>176</v>
      </c>
      <c r="H211" s="1">
        <v>2011</v>
      </c>
      <c r="I211" s="1">
        <v>3372</v>
      </c>
    </row>
    <row r="212" spans="1:10" x14ac:dyDescent="0.2">
      <c r="A212" s="1" t="s">
        <v>170</v>
      </c>
      <c r="B212" s="1" t="s">
        <v>172</v>
      </c>
      <c r="C212" s="1">
        <v>2012</v>
      </c>
      <c r="D212" s="1" t="s">
        <v>173</v>
      </c>
      <c r="E212" s="1" t="s">
        <v>216</v>
      </c>
      <c r="F212" s="1" t="s">
        <v>219</v>
      </c>
      <c r="G212" s="1" t="s">
        <v>176</v>
      </c>
      <c r="H212" s="1">
        <v>2011</v>
      </c>
      <c r="I212" s="1">
        <v>11490</v>
      </c>
    </row>
    <row r="213" spans="1:10" x14ac:dyDescent="0.2">
      <c r="A213" s="1" t="s">
        <v>170</v>
      </c>
      <c r="B213" s="1" t="s">
        <v>172</v>
      </c>
      <c r="C213" s="1">
        <v>2012</v>
      </c>
      <c r="D213" s="1" t="s">
        <v>173</v>
      </c>
      <c r="E213" s="1" t="s">
        <v>216</v>
      </c>
      <c r="F213" s="1" t="s">
        <v>215</v>
      </c>
      <c r="G213" s="1" t="s">
        <v>176</v>
      </c>
      <c r="H213" s="1">
        <v>2011</v>
      </c>
      <c r="I213" s="1">
        <f>ROUND(11490*0.902,0)</f>
        <v>10364</v>
      </c>
      <c r="J213" s="1" t="s">
        <v>671</v>
      </c>
    </row>
    <row r="214" spans="1:10" x14ac:dyDescent="0.2">
      <c r="A214" s="1" t="s">
        <v>170</v>
      </c>
      <c r="B214" s="1" t="s">
        <v>172</v>
      </c>
      <c r="C214" s="1">
        <v>2012</v>
      </c>
      <c r="D214" s="1" t="s">
        <v>173</v>
      </c>
      <c r="E214" s="1" t="s">
        <v>216</v>
      </c>
      <c r="F214" s="1" t="s">
        <v>225</v>
      </c>
      <c r="G214" s="1" t="s">
        <v>176</v>
      </c>
      <c r="H214" s="1">
        <v>2011</v>
      </c>
      <c r="I214" s="1">
        <f>ROUND(11490*0.05,0)</f>
        <v>575</v>
      </c>
    </row>
    <row r="215" spans="1:10" x14ac:dyDescent="0.2">
      <c r="A215" s="1" t="s">
        <v>170</v>
      </c>
      <c r="B215" s="1" t="s">
        <v>172</v>
      </c>
      <c r="C215" s="1">
        <v>2012</v>
      </c>
      <c r="D215" s="1" t="s">
        <v>173</v>
      </c>
      <c r="E215" s="1" t="s">
        <v>216</v>
      </c>
      <c r="F215" s="1" t="s">
        <v>228</v>
      </c>
      <c r="G215" s="1" t="s">
        <v>176</v>
      </c>
      <c r="H215" s="1">
        <v>2011</v>
      </c>
      <c r="I215" s="1">
        <f>ROUND(11490*0.04,0)</f>
        <v>460</v>
      </c>
    </row>
    <row r="216" spans="1:10" x14ac:dyDescent="0.2">
      <c r="A216" s="1" t="s">
        <v>170</v>
      </c>
      <c r="B216" s="1" t="s">
        <v>172</v>
      </c>
      <c r="C216" s="1">
        <v>2012</v>
      </c>
      <c r="D216" s="1" t="s">
        <v>173</v>
      </c>
      <c r="E216" s="1" t="s">
        <v>216</v>
      </c>
      <c r="F216" s="1" t="s">
        <v>229</v>
      </c>
      <c r="G216" s="1" t="s">
        <v>176</v>
      </c>
      <c r="H216" s="1">
        <v>2011</v>
      </c>
      <c r="I216" s="1">
        <v>91</v>
      </c>
    </row>
    <row r="217" spans="1:10" x14ac:dyDescent="0.2">
      <c r="A217" s="1" t="s">
        <v>170</v>
      </c>
      <c r="B217" s="1" t="s">
        <v>172</v>
      </c>
      <c r="C217" s="1">
        <v>2012</v>
      </c>
      <c r="D217" s="1" t="s">
        <v>173</v>
      </c>
      <c r="E217" s="1" t="s">
        <v>216</v>
      </c>
      <c r="F217" s="1" t="s">
        <v>239</v>
      </c>
      <c r="G217" s="1" t="s">
        <v>176</v>
      </c>
      <c r="H217" s="1">
        <v>2008</v>
      </c>
      <c r="I217" s="1">
        <v>8222</v>
      </c>
    </row>
    <row r="218" spans="1:10" x14ac:dyDescent="0.2">
      <c r="A218" s="1" t="s">
        <v>170</v>
      </c>
      <c r="B218" s="1" t="s">
        <v>172</v>
      </c>
      <c r="C218" s="1">
        <v>2012</v>
      </c>
      <c r="D218" s="1" t="s">
        <v>173</v>
      </c>
      <c r="E218" s="1" t="s">
        <v>216</v>
      </c>
      <c r="F218" s="1" t="s">
        <v>238</v>
      </c>
      <c r="G218" s="1" t="s">
        <v>176</v>
      </c>
      <c r="H218" s="1">
        <v>2008</v>
      </c>
      <c r="I218" s="1">
        <v>424</v>
      </c>
    </row>
    <row r="219" spans="1:10" x14ac:dyDescent="0.2">
      <c r="A219" s="1" t="s">
        <v>170</v>
      </c>
      <c r="B219" s="1" t="s">
        <v>172</v>
      </c>
      <c r="C219" s="1">
        <v>2012</v>
      </c>
      <c r="D219" s="1" t="s">
        <v>173</v>
      </c>
      <c r="E219" s="1" t="s">
        <v>216</v>
      </c>
      <c r="F219" s="1" t="s">
        <v>240</v>
      </c>
      <c r="G219" s="1" t="s">
        <v>176</v>
      </c>
      <c r="H219" s="1">
        <v>2008</v>
      </c>
      <c r="I219" s="1">
        <v>1947</v>
      </c>
    </row>
    <row r="220" spans="1:10" x14ac:dyDescent="0.2">
      <c r="A220" s="1" t="s">
        <v>170</v>
      </c>
      <c r="B220" s="1" t="s">
        <v>172</v>
      </c>
      <c r="C220" s="1">
        <v>2012</v>
      </c>
      <c r="D220" s="1" t="s">
        <v>173</v>
      </c>
      <c r="E220" s="1" t="s">
        <v>216</v>
      </c>
      <c r="F220" s="1" t="s">
        <v>205</v>
      </c>
      <c r="G220" s="1" t="s">
        <v>176</v>
      </c>
      <c r="H220" s="1">
        <v>2008</v>
      </c>
      <c r="I220" s="1">
        <v>1169</v>
      </c>
    </row>
    <row r="221" spans="1:10" x14ac:dyDescent="0.2">
      <c r="A221" s="1" t="s">
        <v>170</v>
      </c>
      <c r="B221" s="1" t="s">
        <v>172</v>
      </c>
      <c r="C221" s="1">
        <v>2012</v>
      </c>
      <c r="D221" s="1" t="s">
        <v>173</v>
      </c>
      <c r="E221" s="1" t="s">
        <v>216</v>
      </c>
      <c r="F221" s="1" t="s">
        <v>241</v>
      </c>
      <c r="G221" s="1" t="s">
        <v>176</v>
      </c>
      <c r="H221" s="1">
        <v>2008</v>
      </c>
      <c r="I221" s="1">
        <v>1</v>
      </c>
    </row>
    <row r="222" spans="1:10" x14ac:dyDescent="0.2">
      <c r="A222" s="1" t="s">
        <v>170</v>
      </c>
      <c r="B222" s="1" t="s">
        <v>172</v>
      </c>
      <c r="C222" s="1">
        <v>2012</v>
      </c>
      <c r="D222" s="1" t="s">
        <v>173</v>
      </c>
      <c r="E222" s="1" t="s">
        <v>216</v>
      </c>
      <c r="F222" s="1" t="s">
        <v>242</v>
      </c>
      <c r="G222" s="1" t="s">
        <v>176</v>
      </c>
      <c r="H222" s="1">
        <v>2008</v>
      </c>
      <c r="I222" s="1">
        <v>0</v>
      </c>
    </row>
    <row r="223" spans="1:10" x14ac:dyDescent="0.2">
      <c r="A223" s="1" t="s">
        <v>170</v>
      </c>
      <c r="B223" s="1" t="s">
        <v>172</v>
      </c>
      <c r="C223" s="1">
        <v>2012</v>
      </c>
      <c r="D223" s="1" t="s">
        <v>173</v>
      </c>
      <c r="E223" s="1" t="s">
        <v>216</v>
      </c>
      <c r="F223" s="1" t="s">
        <v>243</v>
      </c>
      <c r="G223" s="1" t="s">
        <v>176</v>
      </c>
      <c r="H223" s="1">
        <v>2008</v>
      </c>
      <c r="I223" s="1">
        <v>1</v>
      </c>
    </row>
    <row r="224" spans="1:10" x14ac:dyDescent="0.2">
      <c r="A224" s="1" t="s">
        <v>170</v>
      </c>
      <c r="B224" s="1" t="s">
        <v>172</v>
      </c>
      <c r="C224" s="1">
        <v>2012</v>
      </c>
      <c r="D224" s="1" t="s">
        <v>173</v>
      </c>
      <c r="E224" s="1" t="s">
        <v>216</v>
      </c>
      <c r="F224" s="1" t="s">
        <v>219</v>
      </c>
      <c r="G224" s="1" t="s">
        <v>176</v>
      </c>
      <c r="H224" s="1">
        <v>2008</v>
      </c>
      <c r="I224" s="1">
        <v>10992</v>
      </c>
    </row>
    <row r="225" spans="1:9" x14ac:dyDescent="0.2">
      <c r="A225" s="1" t="s">
        <v>170</v>
      </c>
      <c r="B225" s="1" t="s">
        <v>172</v>
      </c>
      <c r="C225" s="1">
        <v>2012</v>
      </c>
      <c r="D225" s="1" t="s">
        <v>173</v>
      </c>
      <c r="E225" s="1" t="s">
        <v>216</v>
      </c>
      <c r="F225" s="1" t="s">
        <v>239</v>
      </c>
      <c r="G225" s="1" t="s">
        <v>176</v>
      </c>
      <c r="H225" s="1">
        <v>2009</v>
      </c>
      <c r="I225" s="1">
        <v>7733</v>
      </c>
    </row>
    <row r="226" spans="1:9" x14ac:dyDescent="0.2">
      <c r="A226" s="1" t="s">
        <v>170</v>
      </c>
      <c r="B226" s="1" t="s">
        <v>172</v>
      </c>
      <c r="C226" s="1">
        <v>2012</v>
      </c>
      <c r="D226" s="1" t="s">
        <v>173</v>
      </c>
      <c r="E226" s="1" t="s">
        <v>216</v>
      </c>
      <c r="F226" s="1" t="s">
        <v>238</v>
      </c>
      <c r="G226" s="1" t="s">
        <v>176</v>
      </c>
      <c r="H226" s="1">
        <v>2009</v>
      </c>
      <c r="I226" s="1">
        <v>449</v>
      </c>
    </row>
    <row r="227" spans="1:9" x14ac:dyDescent="0.2">
      <c r="A227" s="1" t="s">
        <v>170</v>
      </c>
      <c r="B227" s="1" t="s">
        <v>172</v>
      </c>
      <c r="C227" s="1">
        <v>2012</v>
      </c>
      <c r="D227" s="1" t="s">
        <v>173</v>
      </c>
      <c r="E227" s="1" t="s">
        <v>216</v>
      </c>
      <c r="F227" s="1" t="s">
        <v>240</v>
      </c>
      <c r="G227" s="1" t="s">
        <v>176</v>
      </c>
      <c r="H227" s="1">
        <v>2009</v>
      </c>
      <c r="I227" s="1">
        <v>2087</v>
      </c>
    </row>
    <row r="228" spans="1:9" x14ac:dyDescent="0.2">
      <c r="A228" s="1" t="s">
        <v>170</v>
      </c>
      <c r="B228" s="1" t="s">
        <v>172</v>
      </c>
      <c r="C228" s="1">
        <v>2012</v>
      </c>
      <c r="D228" s="1" t="s">
        <v>173</v>
      </c>
      <c r="E228" s="1" t="s">
        <v>216</v>
      </c>
      <c r="F228" s="1" t="s">
        <v>205</v>
      </c>
      <c r="G228" s="1" t="s">
        <v>176</v>
      </c>
      <c r="H228" s="1">
        <v>2009</v>
      </c>
      <c r="I228" s="1">
        <v>1213</v>
      </c>
    </row>
    <row r="229" spans="1:9" x14ac:dyDescent="0.2">
      <c r="A229" s="1" t="s">
        <v>170</v>
      </c>
      <c r="B229" s="1" t="s">
        <v>172</v>
      </c>
      <c r="C229" s="1">
        <v>2012</v>
      </c>
      <c r="D229" s="1" t="s">
        <v>173</v>
      </c>
      <c r="E229" s="1" t="s">
        <v>216</v>
      </c>
      <c r="F229" s="1" t="s">
        <v>241</v>
      </c>
      <c r="G229" s="1" t="s">
        <v>176</v>
      </c>
      <c r="H229" s="1">
        <v>2009</v>
      </c>
      <c r="I229" s="1">
        <v>1</v>
      </c>
    </row>
    <row r="230" spans="1:9" x14ac:dyDescent="0.2">
      <c r="A230" s="1" t="s">
        <v>170</v>
      </c>
      <c r="B230" s="1" t="s">
        <v>172</v>
      </c>
      <c r="C230" s="1">
        <v>2012</v>
      </c>
      <c r="D230" s="1" t="s">
        <v>173</v>
      </c>
      <c r="E230" s="1" t="s">
        <v>216</v>
      </c>
      <c r="F230" s="1" t="s">
        <v>242</v>
      </c>
      <c r="G230" s="1" t="s">
        <v>176</v>
      </c>
      <c r="H230" s="1">
        <v>2009</v>
      </c>
      <c r="I230" s="1">
        <v>0</v>
      </c>
    </row>
    <row r="231" spans="1:9" x14ac:dyDescent="0.2">
      <c r="A231" s="1" t="s">
        <v>170</v>
      </c>
      <c r="B231" s="1" t="s">
        <v>172</v>
      </c>
      <c r="C231" s="1">
        <v>2012</v>
      </c>
      <c r="D231" s="1" t="s">
        <v>173</v>
      </c>
      <c r="E231" s="1" t="s">
        <v>216</v>
      </c>
      <c r="F231" s="1" t="s">
        <v>243</v>
      </c>
      <c r="G231" s="1" t="s">
        <v>176</v>
      </c>
      <c r="H231" s="1">
        <v>2009</v>
      </c>
      <c r="I231" s="1">
        <v>1</v>
      </c>
    </row>
    <row r="232" spans="1:9" x14ac:dyDescent="0.2">
      <c r="A232" s="1" t="s">
        <v>170</v>
      </c>
      <c r="B232" s="1" t="s">
        <v>172</v>
      </c>
      <c r="C232" s="1">
        <v>2012</v>
      </c>
      <c r="D232" s="1" t="s">
        <v>173</v>
      </c>
      <c r="E232" s="1" t="s">
        <v>216</v>
      </c>
      <c r="F232" s="1" t="s">
        <v>219</v>
      </c>
      <c r="G232" s="1" t="s">
        <v>176</v>
      </c>
      <c r="H232" s="1">
        <v>2009</v>
      </c>
      <c r="I232" s="1">
        <v>12074</v>
      </c>
    </row>
    <row r="233" spans="1:9" x14ac:dyDescent="0.2">
      <c r="A233" s="1" t="s">
        <v>170</v>
      </c>
      <c r="B233" s="1" t="s">
        <v>172</v>
      </c>
      <c r="C233" s="1">
        <v>2012</v>
      </c>
      <c r="D233" s="1" t="s">
        <v>173</v>
      </c>
      <c r="E233" s="1" t="s">
        <v>216</v>
      </c>
      <c r="F233" s="1" t="s">
        <v>239</v>
      </c>
      <c r="G233" s="1" t="s">
        <v>176</v>
      </c>
      <c r="H233" s="1">
        <v>2010</v>
      </c>
      <c r="I233" s="1">
        <v>7841</v>
      </c>
    </row>
    <row r="234" spans="1:9" x14ac:dyDescent="0.2">
      <c r="A234" s="1" t="s">
        <v>170</v>
      </c>
      <c r="B234" s="1" t="s">
        <v>172</v>
      </c>
      <c r="C234" s="1">
        <v>2012</v>
      </c>
      <c r="D234" s="1" t="s">
        <v>173</v>
      </c>
      <c r="E234" s="1" t="s">
        <v>216</v>
      </c>
      <c r="F234" s="1" t="s">
        <v>238</v>
      </c>
      <c r="G234" s="1" t="s">
        <v>176</v>
      </c>
      <c r="H234" s="1">
        <v>2010</v>
      </c>
      <c r="I234" s="1">
        <v>453</v>
      </c>
    </row>
    <row r="235" spans="1:9" x14ac:dyDescent="0.2">
      <c r="A235" s="1" t="s">
        <v>170</v>
      </c>
      <c r="B235" s="1" t="s">
        <v>172</v>
      </c>
      <c r="C235" s="1">
        <v>2012</v>
      </c>
      <c r="D235" s="1" t="s">
        <v>173</v>
      </c>
      <c r="E235" s="1" t="s">
        <v>216</v>
      </c>
      <c r="F235" s="1" t="s">
        <v>240</v>
      </c>
      <c r="G235" s="1" t="s">
        <v>176</v>
      </c>
      <c r="H235" s="1">
        <v>2010</v>
      </c>
      <c r="I235" s="1">
        <v>2105</v>
      </c>
    </row>
    <row r="236" spans="1:9" x14ac:dyDescent="0.2">
      <c r="A236" s="1" t="s">
        <v>170</v>
      </c>
      <c r="B236" s="1" t="s">
        <v>172</v>
      </c>
      <c r="C236" s="1">
        <v>2012</v>
      </c>
      <c r="D236" s="1" t="s">
        <v>173</v>
      </c>
      <c r="E236" s="1" t="s">
        <v>216</v>
      </c>
      <c r="F236" s="1" t="s">
        <v>205</v>
      </c>
      <c r="G236" s="1" t="s">
        <v>176</v>
      </c>
      <c r="H236" s="1">
        <v>2010</v>
      </c>
      <c r="I236" s="1">
        <v>1200</v>
      </c>
    </row>
    <row r="237" spans="1:9" x14ac:dyDescent="0.2">
      <c r="A237" s="1" t="s">
        <v>170</v>
      </c>
      <c r="B237" s="1" t="s">
        <v>172</v>
      </c>
      <c r="C237" s="1">
        <v>2012</v>
      </c>
      <c r="D237" s="1" t="s">
        <v>173</v>
      </c>
      <c r="E237" s="1" t="s">
        <v>216</v>
      </c>
      <c r="F237" s="1" t="s">
        <v>241</v>
      </c>
      <c r="G237" s="1" t="s">
        <v>176</v>
      </c>
      <c r="H237" s="1">
        <v>2010</v>
      </c>
      <c r="I237" s="1">
        <v>1</v>
      </c>
    </row>
    <row r="238" spans="1:9" x14ac:dyDescent="0.2">
      <c r="A238" s="1" t="s">
        <v>170</v>
      </c>
      <c r="B238" s="1" t="s">
        <v>172</v>
      </c>
      <c r="C238" s="1">
        <v>2012</v>
      </c>
      <c r="D238" s="1" t="s">
        <v>173</v>
      </c>
      <c r="E238" s="1" t="s">
        <v>216</v>
      </c>
      <c r="F238" s="1" t="s">
        <v>242</v>
      </c>
      <c r="G238" s="1" t="s">
        <v>176</v>
      </c>
      <c r="H238" s="1">
        <v>2010</v>
      </c>
      <c r="I238" s="1">
        <v>0</v>
      </c>
    </row>
    <row r="239" spans="1:9" x14ac:dyDescent="0.2">
      <c r="A239" s="1" t="s">
        <v>170</v>
      </c>
      <c r="B239" s="1" t="s">
        <v>172</v>
      </c>
      <c r="C239" s="1">
        <v>2012</v>
      </c>
      <c r="D239" s="1" t="s">
        <v>173</v>
      </c>
      <c r="E239" s="1" t="s">
        <v>216</v>
      </c>
      <c r="F239" s="1" t="s">
        <v>243</v>
      </c>
      <c r="G239" s="1" t="s">
        <v>176</v>
      </c>
      <c r="H239" s="1">
        <v>2010</v>
      </c>
      <c r="I239" s="1">
        <v>1</v>
      </c>
    </row>
    <row r="240" spans="1:9" x14ac:dyDescent="0.2">
      <c r="A240" s="1" t="s">
        <v>170</v>
      </c>
      <c r="B240" s="1" t="s">
        <v>172</v>
      </c>
      <c r="C240" s="1">
        <v>2012</v>
      </c>
      <c r="D240" s="1" t="s">
        <v>173</v>
      </c>
      <c r="E240" s="1" t="s">
        <v>216</v>
      </c>
      <c r="F240" s="1" t="s">
        <v>219</v>
      </c>
      <c r="G240" s="1" t="s">
        <v>176</v>
      </c>
      <c r="H240" s="1">
        <v>2010</v>
      </c>
      <c r="I240" s="1">
        <v>11605</v>
      </c>
    </row>
    <row r="241" spans="1:9" x14ac:dyDescent="0.2">
      <c r="A241" s="1" t="s">
        <v>170</v>
      </c>
      <c r="B241" s="1" t="s">
        <v>172</v>
      </c>
      <c r="C241" s="1">
        <v>2012</v>
      </c>
      <c r="D241" s="1" t="s">
        <v>173</v>
      </c>
      <c r="E241" s="1" t="s">
        <v>216</v>
      </c>
      <c r="F241" s="1" t="s">
        <v>239</v>
      </c>
      <c r="G241" s="1" t="s">
        <v>176</v>
      </c>
      <c r="H241" s="1">
        <v>2011</v>
      </c>
      <c r="I241" s="1">
        <v>7758</v>
      </c>
    </row>
    <row r="242" spans="1:9" x14ac:dyDescent="0.2">
      <c r="A242" s="1" t="s">
        <v>170</v>
      </c>
      <c r="B242" s="1" t="s">
        <v>172</v>
      </c>
      <c r="C242" s="1">
        <v>2012</v>
      </c>
      <c r="D242" s="1" t="s">
        <v>173</v>
      </c>
      <c r="E242" s="1" t="s">
        <v>216</v>
      </c>
      <c r="F242" s="1" t="s">
        <v>238</v>
      </c>
      <c r="G242" s="1" t="s">
        <v>176</v>
      </c>
      <c r="H242" s="1">
        <v>2011</v>
      </c>
      <c r="I242" s="1">
        <v>460</v>
      </c>
    </row>
    <row r="243" spans="1:9" x14ac:dyDescent="0.2">
      <c r="A243" s="1" t="s">
        <v>170</v>
      </c>
      <c r="B243" s="1" t="s">
        <v>172</v>
      </c>
      <c r="C243" s="1">
        <v>2012</v>
      </c>
      <c r="D243" s="1" t="s">
        <v>173</v>
      </c>
      <c r="E243" s="1" t="s">
        <v>216</v>
      </c>
      <c r="F243" s="1" t="s">
        <v>240</v>
      </c>
      <c r="G243" s="1" t="s">
        <v>176</v>
      </c>
      <c r="H243" s="1">
        <v>2011</v>
      </c>
      <c r="I243" s="1">
        <v>2076</v>
      </c>
    </row>
    <row r="244" spans="1:9" x14ac:dyDescent="0.2">
      <c r="A244" s="1" t="s">
        <v>170</v>
      </c>
      <c r="B244" s="1" t="s">
        <v>172</v>
      </c>
      <c r="C244" s="1">
        <v>2012</v>
      </c>
      <c r="D244" s="1" t="s">
        <v>173</v>
      </c>
      <c r="E244" s="1" t="s">
        <v>216</v>
      </c>
      <c r="F244" s="1" t="s">
        <v>205</v>
      </c>
      <c r="G244" s="1" t="s">
        <v>176</v>
      </c>
      <c r="H244" s="1">
        <v>2011</v>
      </c>
      <c r="I244" s="1">
        <v>1191</v>
      </c>
    </row>
    <row r="245" spans="1:9" x14ac:dyDescent="0.2">
      <c r="A245" s="1" t="s">
        <v>170</v>
      </c>
      <c r="B245" s="1" t="s">
        <v>172</v>
      </c>
      <c r="C245" s="1">
        <v>2012</v>
      </c>
      <c r="D245" s="1" t="s">
        <v>173</v>
      </c>
      <c r="E245" s="1" t="s">
        <v>216</v>
      </c>
      <c r="F245" s="1" t="s">
        <v>241</v>
      </c>
      <c r="G245" s="1" t="s">
        <v>176</v>
      </c>
      <c r="H245" s="1">
        <v>2011</v>
      </c>
      <c r="I245" s="1">
        <v>1</v>
      </c>
    </row>
    <row r="246" spans="1:9" x14ac:dyDescent="0.2">
      <c r="A246" s="1" t="s">
        <v>170</v>
      </c>
      <c r="B246" s="1" t="s">
        <v>172</v>
      </c>
      <c r="C246" s="1">
        <v>2012</v>
      </c>
      <c r="D246" s="1" t="s">
        <v>173</v>
      </c>
      <c r="E246" s="1" t="s">
        <v>216</v>
      </c>
      <c r="F246" s="1" t="s">
        <v>242</v>
      </c>
      <c r="G246" s="1" t="s">
        <v>176</v>
      </c>
      <c r="H246" s="1">
        <v>2011</v>
      </c>
      <c r="I246" s="1">
        <v>0</v>
      </c>
    </row>
    <row r="247" spans="1:9" x14ac:dyDescent="0.2">
      <c r="A247" s="1" t="s">
        <v>170</v>
      </c>
      <c r="B247" s="1" t="s">
        <v>172</v>
      </c>
      <c r="C247" s="1">
        <v>2012</v>
      </c>
      <c r="D247" s="1" t="s">
        <v>173</v>
      </c>
      <c r="E247" s="1" t="s">
        <v>216</v>
      </c>
      <c r="F247" s="1" t="s">
        <v>243</v>
      </c>
      <c r="G247" s="1" t="s">
        <v>176</v>
      </c>
      <c r="H247" s="1">
        <v>2011</v>
      </c>
      <c r="I247" s="1">
        <v>1</v>
      </c>
    </row>
    <row r="248" spans="1:9" x14ac:dyDescent="0.2">
      <c r="A248" s="1" t="s">
        <v>170</v>
      </c>
      <c r="B248" s="1" t="s">
        <v>172</v>
      </c>
      <c r="C248" s="1">
        <v>2012</v>
      </c>
      <c r="D248" s="1" t="s">
        <v>173</v>
      </c>
      <c r="E248" s="1" t="s">
        <v>216</v>
      </c>
      <c r="F248" s="1" t="s">
        <v>219</v>
      </c>
      <c r="G248" s="1" t="s">
        <v>176</v>
      </c>
      <c r="H248" s="1">
        <v>2011</v>
      </c>
      <c r="I248" s="1">
        <v>11490</v>
      </c>
    </row>
    <row r="249" spans="1:9" x14ac:dyDescent="0.2">
      <c r="A249" s="1" t="s">
        <v>170</v>
      </c>
      <c r="B249" s="1" t="s">
        <v>172</v>
      </c>
      <c r="C249" s="1">
        <v>2016</v>
      </c>
      <c r="D249" s="1" t="s">
        <v>173</v>
      </c>
      <c r="E249" s="1" t="s">
        <v>216</v>
      </c>
      <c r="F249" s="1" t="s">
        <v>217</v>
      </c>
      <c r="G249" s="1" t="s">
        <v>176</v>
      </c>
      <c r="H249" s="1">
        <v>2015</v>
      </c>
      <c r="I249" s="1">
        <f>11713-3816</f>
        <v>7897</v>
      </c>
    </row>
    <row r="250" spans="1:9" x14ac:dyDescent="0.2">
      <c r="A250" s="1" t="s">
        <v>170</v>
      </c>
      <c r="B250" s="1" t="s">
        <v>172</v>
      </c>
      <c r="C250" s="1">
        <v>2016</v>
      </c>
      <c r="D250" s="1" t="s">
        <v>173</v>
      </c>
      <c r="E250" s="1" t="s">
        <v>216</v>
      </c>
      <c r="F250" s="1" t="s">
        <v>218</v>
      </c>
      <c r="G250" s="1" t="s">
        <v>176</v>
      </c>
      <c r="H250" s="1">
        <v>2015</v>
      </c>
      <c r="I250" s="1">
        <v>3816</v>
      </c>
    </row>
    <row r="251" spans="1:9" x14ac:dyDescent="0.2">
      <c r="A251" s="1" t="s">
        <v>170</v>
      </c>
      <c r="B251" s="1" t="s">
        <v>172</v>
      </c>
      <c r="C251" s="1">
        <v>2016</v>
      </c>
      <c r="D251" s="1" t="s">
        <v>173</v>
      </c>
      <c r="E251" s="1" t="s">
        <v>219</v>
      </c>
      <c r="F251" s="1" t="s">
        <v>219</v>
      </c>
      <c r="G251" s="1" t="s">
        <v>176</v>
      </c>
      <c r="H251" s="1">
        <v>2015</v>
      </c>
      <c r="I251" s="1">
        <v>11713</v>
      </c>
    </row>
    <row r="252" spans="1:9" x14ac:dyDescent="0.2">
      <c r="A252" s="1" t="s">
        <v>170</v>
      </c>
      <c r="B252" s="1" t="s">
        <v>172</v>
      </c>
      <c r="C252" s="1">
        <v>2016</v>
      </c>
      <c r="D252" s="1" t="s">
        <v>173</v>
      </c>
      <c r="E252" s="1" t="s">
        <v>214</v>
      </c>
      <c r="F252" s="1" t="s">
        <v>215</v>
      </c>
      <c r="G252" s="1" t="s">
        <v>176</v>
      </c>
      <c r="H252" s="1">
        <v>2015</v>
      </c>
      <c r="I252" s="1">
        <f>ROUND(11713*0.93,0)</f>
        <v>10893</v>
      </c>
    </row>
    <row r="253" spans="1:9" x14ac:dyDescent="0.2">
      <c r="A253" s="1" t="s">
        <v>170</v>
      </c>
      <c r="B253" s="1" t="s">
        <v>172</v>
      </c>
      <c r="C253" s="1">
        <v>2016</v>
      </c>
      <c r="D253" s="1" t="s">
        <v>173</v>
      </c>
      <c r="E253" s="1" t="s">
        <v>214</v>
      </c>
      <c r="F253" s="1" t="s">
        <v>225</v>
      </c>
      <c r="G253" s="1" t="s">
        <v>176</v>
      </c>
      <c r="H253" s="1">
        <v>2015</v>
      </c>
      <c r="I253" s="1">
        <f>ROUND(11713*0.05,0)</f>
        <v>586</v>
      </c>
    </row>
    <row r="254" spans="1:9" x14ac:dyDescent="0.2">
      <c r="A254" s="1" t="s">
        <v>170</v>
      </c>
      <c r="B254" s="1" t="s">
        <v>172</v>
      </c>
      <c r="C254" s="1">
        <v>2016</v>
      </c>
      <c r="D254" s="1" t="s">
        <v>173</v>
      </c>
      <c r="E254" s="1" t="s">
        <v>214</v>
      </c>
      <c r="F254" s="1" t="s">
        <v>228</v>
      </c>
      <c r="G254" s="1" t="s">
        <v>176</v>
      </c>
      <c r="H254" s="1">
        <v>2015</v>
      </c>
      <c r="I254" s="1">
        <f>ROUND(11713*0.01,0)</f>
        <v>117</v>
      </c>
    </row>
    <row r="255" spans="1:9" x14ac:dyDescent="0.2">
      <c r="A255" s="1" t="s">
        <v>170</v>
      </c>
      <c r="B255" s="1" t="s">
        <v>172</v>
      </c>
      <c r="C255" s="1">
        <v>2016</v>
      </c>
      <c r="D255" s="1" t="s">
        <v>173</v>
      </c>
      <c r="E255" s="1" t="s">
        <v>214</v>
      </c>
      <c r="F255" s="1" t="s">
        <v>229</v>
      </c>
      <c r="G255" s="1" t="s">
        <v>176</v>
      </c>
      <c r="H255" s="1">
        <v>2015</v>
      </c>
      <c r="I255" s="1">
        <f>ROUND(11713*0.01,0)</f>
        <v>117</v>
      </c>
    </row>
    <row r="256" spans="1:9" x14ac:dyDescent="0.2">
      <c r="A256" s="1" t="s">
        <v>170</v>
      </c>
      <c r="B256" s="1" t="s">
        <v>172</v>
      </c>
      <c r="C256" s="1">
        <v>2016</v>
      </c>
      <c r="D256" s="1" t="s">
        <v>173</v>
      </c>
      <c r="E256" s="1" t="s">
        <v>216</v>
      </c>
      <c r="F256" s="1" t="s">
        <v>239</v>
      </c>
      <c r="G256" s="1" t="s">
        <v>176</v>
      </c>
      <c r="H256" s="1">
        <v>2012</v>
      </c>
      <c r="I256" s="1">
        <v>7808</v>
      </c>
    </row>
    <row r="257" spans="1:9" x14ac:dyDescent="0.2">
      <c r="A257" s="1" t="s">
        <v>170</v>
      </c>
      <c r="B257" s="1" t="s">
        <v>172</v>
      </c>
      <c r="C257" s="1">
        <v>2016</v>
      </c>
      <c r="D257" s="1" t="s">
        <v>173</v>
      </c>
      <c r="E257" s="1" t="s">
        <v>216</v>
      </c>
      <c r="F257" s="1" t="s">
        <v>238</v>
      </c>
      <c r="G257" s="1" t="s">
        <v>176</v>
      </c>
      <c r="H257" s="1">
        <v>2012</v>
      </c>
      <c r="I257" s="1">
        <v>464</v>
      </c>
    </row>
    <row r="258" spans="1:9" x14ac:dyDescent="0.2">
      <c r="A258" s="1" t="s">
        <v>170</v>
      </c>
      <c r="B258" s="1" t="s">
        <v>172</v>
      </c>
      <c r="C258" s="1">
        <v>2016</v>
      </c>
      <c r="D258" s="1" t="s">
        <v>173</v>
      </c>
      <c r="E258" s="1" t="s">
        <v>216</v>
      </c>
      <c r="F258" s="1" t="s">
        <v>240</v>
      </c>
      <c r="G258" s="1" t="s">
        <v>176</v>
      </c>
      <c r="H258" s="1">
        <v>2012</v>
      </c>
      <c r="I258" s="1">
        <v>2080</v>
      </c>
    </row>
    <row r="259" spans="1:9" x14ac:dyDescent="0.2">
      <c r="A259" s="1" t="s">
        <v>170</v>
      </c>
      <c r="B259" s="1" t="s">
        <v>172</v>
      </c>
      <c r="C259" s="1">
        <v>2016</v>
      </c>
      <c r="D259" s="1" t="s">
        <v>173</v>
      </c>
      <c r="E259" s="1" t="s">
        <v>216</v>
      </c>
      <c r="F259" s="1" t="s">
        <v>205</v>
      </c>
      <c r="G259" s="1" t="s">
        <v>176</v>
      </c>
      <c r="H259" s="1">
        <v>2012</v>
      </c>
      <c r="I259" s="1">
        <v>1192</v>
      </c>
    </row>
    <row r="260" spans="1:9" x14ac:dyDescent="0.2">
      <c r="A260" s="1" t="s">
        <v>170</v>
      </c>
      <c r="B260" s="1" t="s">
        <v>172</v>
      </c>
      <c r="C260" s="1">
        <v>2016</v>
      </c>
      <c r="D260" s="1" t="s">
        <v>173</v>
      </c>
      <c r="E260" s="1" t="s">
        <v>216</v>
      </c>
      <c r="F260" s="1" t="s">
        <v>241</v>
      </c>
      <c r="G260" s="1" t="s">
        <v>176</v>
      </c>
      <c r="H260" s="1">
        <v>2012</v>
      </c>
      <c r="I260" s="1">
        <v>1</v>
      </c>
    </row>
    <row r="261" spans="1:9" x14ac:dyDescent="0.2">
      <c r="A261" s="1" t="s">
        <v>170</v>
      </c>
      <c r="B261" s="1" t="s">
        <v>172</v>
      </c>
      <c r="C261" s="1">
        <v>2016</v>
      </c>
      <c r="D261" s="1" t="s">
        <v>173</v>
      </c>
      <c r="E261" s="1" t="s">
        <v>216</v>
      </c>
      <c r="F261" s="1" t="s">
        <v>242</v>
      </c>
      <c r="G261" s="1" t="s">
        <v>176</v>
      </c>
      <c r="H261" s="1">
        <v>2012</v>
      </c>
      <c r="I261" s="1">
        <v>0</v>
      </c>
    </row>
    <row r="262" spans="1:9" x14ac:dyDescent="0.2">
      <c r="A262" s="1" t="s">
        <v>170</v>
      </c>
      <c r="B262" s="1" t="s">
        <v>172</v>
      </c>
      <c r="C262" s="1">
        <v>2016</v>
      </c>
      <c r="D262" s="1" t="s">
        <v>173</v>
      </c>
      <c r="E262" s="1" t="s">
        <v>216</v>
      </c>
      <c r="F262" s="1" t="s">
        <v>243</v>
      </c>
      <c r="G262" s="1" t="s">
        <v>176</v>
      </c>
      <c r="H262" s="1">
        <v>2012</v>
      </c>
      <c r="I262" s="1">
        <v>1</v>
      </c>
    </row>
    <row r="263" spans="1:9" x14ac:dyDescent="0.2">
      <c r="A263" s="1" t="s">
        <v>170</v>
      </c>
      <c r="B263" s="1" t="s">
        <v>172</v>
      </c>
      <c r="C263" s="1">
        <v>2016</v>
      </c>
      <c r="D263" s="1" t="s">
        <v>173</v>
      </c>
      <c r="E263" s="1" t="s">
        <v>219</v>
      </c>
      <c r="F263" s="1" t="s">
        <v>219</v>
      </c>
      <c r="G263" s="1" t="s">
        <v>176</v>
      </c>
      <c r="H263" s="1">
        <v>2012</v>
      </c>
      <c r="I263" s="1">
        <v>11544</v>
      </c>
    </row>
    <row r="264" spans="1:9" x14ac:dyDescent="0.2">
      <c r="A264" s="1" t="s">
        <v>170</v>
      </c>
      <c r="B264" s="1" t="s">
        <v>172</v>
      </c>
      <c r="C264" s="1">
        <v>2016</v>
      </c>
      <c r="D264" s="1" t="s">
        <v>173</v>
      </c>
      <c r="E264" s="1" t="s">
        <v>216</v>
      </c>
      <c r="F264" s="1" t="s">
        <v>239</v>
      </c>
      <c r="G264" s="1" t="s">
        <v>176</v>
      </c>
      <c r="H264" s="1">
        <v>2013</v>
      </c>
      <c r="I264" s="1">
        <v>7853</v>
      </c>
    </row>
    <row r="265" spans="1:9" x14ac:dyDescent="0.2">
      <c r="A265" s="1" t="s">
        <v>170</v>
      </c>
      <c r="B265" s="1" t="s">
        <v>172</v>
      </c>
      <c r="C265" s="1">
        <v>2016</v>
      </c>
      <c r="D265" s="1" t="s">
        <v>173</v>
      </c>
      <c r="E265" s="1" t="s">
        <v>216</v>
      </c>
      <c r="F265" s="1" t="s">
        <v>238</v>
      </c>
      <c r="G265" s="1" t="s">
        <v>176</v>
      </c>
      <c r="H265" s="1">
        <v>2013</v>
      </c>
      <c r="I265" s="1">
        <v>477</v>
      </c>
    </row>
    <row r="266" spans="1:9" x14ac:dyDescent="0.2">
      <c r="A266" s="1" t="s">
        <v>170</v>
      </c>
      <c r="B266" s="1" t="s">
        <v>172</v>
      </c>
      <c r="C266" s="1">
        <v>2016</v>
      </c>
      <c r="D266" s="1" t="s">
        <v>173</v>
      </c>
      <c r="E266" s="1" t="s">
        <v>216</v>
      </c>
      <c r="F266" s="1" t="s">
        <v>240</v>
      </c>
      <c r="G266" s="1" t="s">
        <v>176</v>
      </c>
      <c r="H266" s="1">
        <v>2013</v>
      </c>
      <c r="I266" s="1">
        <v>2082</v>
      </c>
    </row>
    <row r="267" spans="1:9" x14ac:dyDescent="0.2">
      <c r="A267" s="1" t="s">
        <v>170</v>
      </c>
      <c r="B267" s="1" t="s">
        <v>172</v>
      </c>
      <c r="C267" s="1">
        <v>2016</v>
      </c>
      <c r="D267" s="1" t="s">
        <v>173</v>
      </c>
      <c r="E267" s="1" t="s">
        <v>216</v>
      </c>
      <c r="F267" s="1" t="s">
        <v>205</v>
      </c>
      <c r="G267" s="1" t="s">
        <v>176</v>
      </c>
      <c r="H267" s="1">
        <v>2013</v>
      </c>
      <c r="I267" s="1">
        <v>1192</v>
      </c>
    </row>
    <row r="268" spans="1:9" x14ac:dyDescent="0.2">
      <c r="A268" s="1" t="s">
        <v>170</v>
      </c>
      <c r="B268" s="1" t="s">
        <v>172</v>
      </c>
      <c r="C268" s="1">
        <v>2016</v>
      </c>
      <c r="D268" s="1" t="s">
        <v>173</v>
      </c>
      <c r="E268" s="1" t="s">
        <v>216</v>
      </c>
      <c r="F268" s="1" t="s">
        <v>241</v>
      </c>
      <c r="G268" s="1" t="s">
        <v>176</v>
      </c>
      <c r="H268" s="1">
        <v>2013</v>
      </c>
      <c r="I268" s="1">
        <v>1</v>
      </c>
    </row>
    <row r="269" spans="1:9" x14ac:dyDescent="0.2">
      <c r="A269" s="1" t="s">
        <v>170</v>
      </c>
      <c r="B269" s="1" t="s">
        <v>172</v>
      </c>
      <c r="C269" s="1">
        <v>2016</v>
      </c>
      <c r="D269" s="1" t="s">
        <v>173</v>
      </c>
      <c r="E269" s="1" t="s">
        <v>216</v>
      </c>
      <c r="F269" s="1" t="s">
        <v>242</v>
      </c>
      <c r="G269" s="1" t="s">
        <v>176</v>
      </c>
      <c r="H269" s="1">
        <v>2013</v>
      </c>
      <c r="I269" s="1">
        <v>0</v>
      </c>
    </row>
    <row r="270" spans="1:9" x14ac:dyDescent="0.2">
      <c r="A270" s="1" t="s">
        <v>170</v>
      </c>
      <c r="B270" s="1" t="s">
        <v>172</v>
      </c>
      <c r="C270" s="1">
        <v>2016</v>
      </c>
      <c r="D270" s="1" t="s">
        <v>173</v>
      </c>
      <c r="E270" s="1" t="s">
        <v>216</v>
      </c>
      <c r="F270" s="1" t="s">
        <v>243</v>
      </c>
      <c r="G270" s="1" t="s">
        <v>176</v>
      </c>
      <c r="H270" s="1">
        <v>2013</v>
      </c>
      <c r="I270" s="1">
        <v>1</v>
      </c>
    </row>
    <row r="271" spans="1:9" x14ac:dyDescent="0.2">
      <c r="A271" s="1" t="s">
        <v>170</v>
      </c>
      <c r="B271" s="1" t="s">
        <v>172</v>
      </c>
      <c r="C271" s="1">
        <v>2016</v>
      </c>
      <c r="D271" s="1" t="s">
        <v>173</v>
      </c>
      <c r="E271" s="1" t="s">
        <v>219</v>
      </c>
      <c r="F271" s="1" t="s">
        <v>219</v>
      </c>
      <c r="G271" s="1" t="s">
        <v>176</v>
      </c>
      <c r="H271" s="1">
        <v>2013</v>
      </c>
      <c r="I271" s="1">
        <v>11604</v>
      </c>
    </row>
    <row r="272" spans="1:9" x14ac:dyDescent="0.2">
      <c r="A272" s="1" t="s">
        <v>170</v>
      </c>
      <c r="B272" s="1" t="s">
        <v>172</v>
      </c>
      <c r="C272" s="1">
        <v>2016</v>
      </c>
      <c r="D272" s="1" t="s">
        <v>173</v>
      </c>
      <c r="E272" s="1" t="s">
        <v>216</v>
      </c>
      <c r="F272" s="1" t="s">
        <v>239</v>
      </c>
      <c r="G272" s="1" t="s">
        <v>176</v>
      </c>
      <c r="H272" s="1">
        <v>2014</v>
      </c>
      <c r="I272" s="1">
        <v>7867</v>
      </c>
    </row>
    <row r="273" spans="1:9" x14ac:dyDescent="0.2">
      <c r="A273" s="1" t="s">
        <v>170</v>
      </c>
      <c r="B273" s="1" t="s">
        <v>172</v>
      </c>
      <c r="C273" s="1">
        <v>2016</v>
      </c>
      <c r="D273" s="1" t="s">
        <v>173</v>
      </c>
      <c r="E273" s="1" t="s">
        <v>216</v>
      </c>
      <c r="F273" s="1" t="s">
        <v>238</v>
      </c>
      <c r="G273" s="1" t="s">
        <v>176</v>
      </c>
      <c r="H273" s="1">
        <v>2014</v>
      </c>
      <c r="I273" s="1">
        <v>495</v>
      </c>
    </row>
    <row r="274" spans="1:9" x14ac:dyDescent="0.2">
      <c r="A274" s="1" t="s">
        <v>170</v>
      </c>
      <c r="B274" s="1" t="s">
        <v>172</v>
      </c>
      <c r="C274" s="1">
        <v>2016</v>
      </c>
      <c r="D274" s="1" t="s">
        <v>173</v>
      </c>
      <c r="E274" s="1" t="s">
        <v>216</v>
      </c>
      <c r="F274" s="1" t="s">
        <v>240</v>
      </c>
      <c r="G274" s="1" t="s">
        <v>176</v>
      </c>
      <c r="H274" s="1">
        <v>2014</v>
      </c>
      <c r="I274" s="1">
        <v>2083</v>
      </c>
    </row>
    <row r="275" spans="1:9" x14ac:dyDescent="0.2">
      <c r="A275" s="1" t="s">
        <v>170</v>
      </c>
      <c r="B275" s="1" t="s">
        <v>172</v>
      </c>
      <c r="C275" s="1">
        <v>2016</v>
      </c>
      <c r="D275" s="1" t="s">
        <v>173</v>
      </c>
      <c r="E275" s="1" t="s">
        <v>216</v>
      </c>
      <c r="F275" s="1" t="s">
        <v>205</v>
      </c>
      <c r="G275" s="1" t="s">
        <v>176</v>
      </c>
      <c r="H275" s="1">
        <v>2014</v>
      </c>
      <c r="I275" s="1">
        <v>1192</v>
      </c>
    </row>
    <row r="276" spans="1:9" x14ac:dyDescent="0.2">
      <c r="A276" s="1" t="s">
        <v>170</v>
      </c>
      <c r="B276" s="1" t="s">
        <v>172</v>
      </c>
      <c r="C276" s="1">
        <v>2016</v>
      </c>
      <c r="D276" s="1" t="s">
        <v>173</v>
      </c>
      <c r="E276" s="1" t="s">
        <v>216</v>
      </c>
      <c r="F276" s="1" t="s">
        <v>241</v>
      </c>
      <c r="G276" s="1" t="s">
        <v>176</v>
      </c>
      <c r="H276" s="1">
        <v>2014</v>
      </c>
      <c r="I276" s="1">
        <v>1</v>
      </c>
    </row>
    <row r="277" spans="1:9" x14ac:dyDescent="0.2">
      <c r="A277" s="1" t="s">
        <v>170</v>
      </c>
      <c r="B277" s="1" t="s">
        <v>172</v>
      </c>
      <c r="C277" s="1">
        <v>2016</v>
      </c>
      <c r="D277" s="1" t="s">
        <v>173</v>
      </c>
      <c r="E277" s="1" t="s">
        <v>216</v>
      </c>
      <c r="F277" s="1" t="s">
        <v>242</v>
      </c>
      <c r="G277" s="1" t="s">
        <v>176</v>
      </c>
      <c r="H277" s="1">
        <v>2014</v>
      </c>
      <c r="I277" s="1">
        <v>0</v>
      </c>
    </row>
    <row r="278" spans="1:9" x14ac:dyDescent="0.2">
      <c r="A278" s="1" t="s">
        <v>170</v>
      </c>
      <c r="B278" s="1" t="s">
        <v>172</v>
      </c>
      <c r="C278" s="1">
        <v>2016</v>
      </c>
      <c r="D278" s="1" t="s">
        <v>173</v>
      </c>
      <c r="E278" s="1" t="s">
        <v>216</v>
      </c>
      <c r="F278" s="1" t="s">
        <v>243</v>
      </c>
      <c r="G278" s="1" t="s">
        <v>176</v>
      </c>
      <c r="H278" s="1">
        <v>2014</v>
      </c>
      <c r="I278" s="1">
        <v>1</v>
      </c>
    </row>
    <row r="279" spans="1:9" x14ac:dyDescent="0.2">
      <c r="A279" s="1" t="s">
        <v>170</v>
      </c>
      <c r="B279" s="1" t="s">
        <v>172</v>
      </c>
      <c r="C279" s="1">
        <v>2016</v>
      </c>
      <c r="D279" s="1" t="s">
        <v>173</v>
      </c>
      <c r="E279" s="1" t="s">
        <v>219</v>
      </c>
      <c r="F279" s="1" t="s">
        <v>219</v>
      </c>
      <c r="G279" s="1" t="s">
        <v>176</v>
      </c>
      <c r="H279" s="1">
        <v>2014</v>
      </c>
      <c r="I279" s="1">
        <v>11637</v>
      </c>
    </row>
    <row r="280" spans="1:9" x14ac:dyDescent="0.2">
      <c r="A280" s="1" t="s">
        <v>170</v>
      </c>
      <c r="B280" s="1" t="s">
        <v>172</v>
      </c>
      <c r="C280" s="1">
        <v>2016</v>
      </c>
      <c r="D280" s="1" t="s">
        <v>173</v>
      </c>
      <c r="E280" s="1" t="s">
        <v>216</v>
      </c>
      <c r="F280" s="1" t="s">
        <v>239</v>
      </c>
      <c r="G280" s="1" t="s">
        <v>176</v>
      </c>
      <c r="H280" s="1">
        <v>2015</v>
      </c>
      <c r="I280" s="1">
        <v>7903</v>
      </c>
    </row>
    <row r="281" spans="1:9" x14ac:dyDescent="0.2">
      <c r="A281" s="1" t="s">
        <v>170</v>
      </c>
      <c r="B281" s="1" t="s">
        <v>172</v>
      </c>
      <c r="C281" s="1">
        <v>2016</v>
      </c>
      <c r="D281" s="1" t="s">
        <v>173</v>
      </c>
      <c r="E281" s="1" t="s">
        <v>216</v>
      </c>
      <c r="F281" s="1" t="s">
        <v>238</v>
      </c>
      <c r="G281" s="1" t="s">
        <v>176</v>
      </c>
      <c r="H281" s="1">
        <v>2015</v>
      </c>
      <c r="I281" s="1">
        <v>533</v>
      </c>
    </row>
    <row r="282" spans="1:9" x14ac:dyDescent="0.2">
      <c r="A282" s="1" t="s">
        <v>170</v>
      </c>
      <c r="B282" s="1" t="s">
        <v>172</v>
      </c>
      <c r="C282" s="1">
        <v>2016</v>
      </c>
      <c r="D282" s="1" t="s">
        <v>173</v>
      </c>
      <c r="E282" s="1" t="s">
        <v>216</v>
      </c>
      <c r="F282" s="1" t="s">
        <v>240</v>
      </c>
      <c r="G282" s="1" t="s">
        <v>176</v>
      </c>
      <c r="H282" s="1">
        <v>2015</v>
      </c>
      <c r="I282" s="1">
        <v>2084</v>
      </c>
    </row>
    <row r="283" spans="1:9" x14ac:dyDescent="0.2">
      <c r="A283" s="1" t="s">
        <v>170</v>
      </c>
      <c r="B283" s="1" t="s">
        <v>172</v>
      </c>
      <c r="C283" s="1">
        <v>2016</v>
      </c>
      <c r="D283" s="1" t="s">
        <v>173</v>
      </c>
      <c r="E283" s="1" t="s">
        <v>216</v>
      </c>
      <c r="F283" s="1" t="s">
        <v>205</v>
      </c>
      <c r="G283" s="1" t="s">
        <v>176</v>
      </c>
      <c r="H283" s="1">
        <v>2015</v>
      </c>
      <c r="I283" s="1">
        <v>1193</v>
      </c>
    </row>
    <row r="284" spans="1:9" x14ac:dyDescent="0.2">
      <c r="A284" s="1" t="s">
        <v>170</v>
      </c>
      <c r="B284" s="1" t="s">
        <v>172</v>
      </c>
      <c r="C284" s="1">
        <v>2016</v>
      </c>
      <c r="D284" s="1" t="s">
        <v>173</v>
      </c>
      <c r="E284" s="1" t="s">
        <v>216</v>
      </c>
      <c r="F284" s="1" t="s">
        <v>241</v>
      </c>
      <c r="G284" s="1" t="s">
        <v>176</v>
      </c>
      <c r="H284" s="1">
        <v>2015</v>
      </c>
      <c r="I284" s="1">
        <v>1</v>
      </c>
    </row>
    <row r="285" spans="1:9" x14ac:dyDescent="0.2">
      <c r="A285" s="1" t="s">
        <v>170</v>
      </c>
      <c r="B285" s="1" t="s">
        <v>172</v>
      </c>
      <c r="C285" s="1">
        <v>2016</v>
      </c>
      <c r="D285" s="1" t="s">
        <v>173</v>
      </c>
      <c r="E285" s="1" t="s">
        <v>216</v>
      </c>
      <c r="F285" s="1" t="s">
        <v>242</v>
      </c>
      <c r="G285" s="1" t="s">
        <v>176</v>
      </c>
      <c r="H285" s="1">
        <v>2015</v>
      </c>
      <c r="I285" s="1">
        <v>0</v>
      </c>
    </row>
    <row r="286" spans="1:9" x14ac:dyDescent="0.2">
      <c r="A286" s="1" t="s">
        <v>170</v>
      </c>
      <c r="B286" s="1" t="s">
        <v>172</v>
      </c>
      <c r="C286" s="1">
        <v>2016</v>
      </c>
      <c r="D286" s="1" t="s">
        <v>173</v>
      </c>
      <c r="E286" s="1" t="s">
        <v>216</v>
      </c>
      <c r="F286" s="1" t="s">
        <v>243</v>
      </c>
      <c r="G286" s="1" t="s">
        <v>176</v>
      </c>
      <c r="H286" s="1">
        <v>2015</v>
      </c>
      <c r="I286" s="1">
        <v>1</v>
      </c>
    </row>
    <row r="287" spans="1:9" x14ac:dyDescent="0.2">
      <c r="A287" s="1" t="s">
        <v>170</v>
      </c>
      <c r="B287" s="1" t="s">
        <v>172</v>
      </c>
      <c r="C287" s="1">
        <v>2016</v>
      </c>
      <c r="D287" s="1" t="s">
        <v>173</v>
      </c>
      <c r="E287" s="1" t="s">
        <v>219</v>
      </c>
      <c r="F287" s="1" t="s">
        <v>219</v>
      </c>
      <c r="G287" s="1" t="s">
        <v>176</v>
      </c>
      <c r="H287" s="1">
        <v>2015</v>
      </c>
      <c r="I287" s="1">
        <v>11713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88"/>
  <sheetViews>
    <sheetView topLeftCell="A54" workbookViewId="0">
      <selection activeCell="M87" sqref="M87"/>
    </sheetView>
  </sheetViews>
  <sheetFormatPr baseColWidth="10" defaultColWidth="8.83203125" defaultRowHeight="15" x14ac:dyDescent="0.2"/>
  <cols>
    <col min="1" max="1" width="10.1640625" style="1" bestFit="1" customWidth="1"/>
    <col min="2" max="3" width="8.83203125" style="1"/>
    <col min="4" max="4" width="11.1640625" style="1" bestFit="1" customWidth="1"/>
    <col min="5" max="8" width="8.83203125" style="1"/>
    <col min="9" max="9" width="12.5" style="1" bestFit="1" customWidth="1"/>
    <col min="10" max="10" width="10.33203125" style="1" bestFit="1" customWidth="1"/>
    <col min="11" max="11" width="10.83203125" style="1" bestFit="1" customWidth="1"/>
    <col min="12" max="16384" width="8.83203125" style="1"/>
  </cols>
  <sheetData>
    <row r="1" spans="1:13" x14ac:dyDescent="0.2">
      <c r="A1" s="2" t="s">
        <v>0</v>
      </c>
      <c r="B1" s="2" t="s">
        <v>27</v>
      </c>
      <c r="C1" s="2" t="s">
        <v>2</v>
      </c>
      <c r="D1" s="2" t="s">
        <v>24</v>
      </c>
      <c r="E1" s="2" t="s">
        <v>123</v>
      </c>
      <c r="F1" s="2" t="s">
        <v>126</v>
      </c>
      <c r="G1" s="2" t="s">
        <v>124</v>
      </c>
      <c r="H1" s="2" t="s">
        <v>99</v>
      </c>
      <c r="I1" s="2" t="s">
        <v>127</v>
      </c>
      <c r="J1" s="2" t="s">
        <v>165</v>
      </c>
      <c r="K1" s="4" t="s">
        <v>128</v>
      </c>
      <c r="L1" s="4" t="s">
        <v>166</v>
      </c>
      <c r="M1" s="4" t="s">
        <v>85</v>
      </c>
    </row>
    <row r="2" spans="1:13" x14ac:dyDescent="0.2">
      <c r="A2" s="1" t="s">
        <v>170</v>
      </c>
      <c r="B2" s="1" t="s">
        <v>172</v>
      </c>
      <c r="C2" s="1">
        <v>1990</v>
      </c>
      <c r="D2" s="1" t="s">
        <v>173</v>
      </c>
      <c r="E2" s="1" t="s">
        <v>221</v>
      </c>
      <c r="F2" s="1" t="s">
        <v>223</v>
      </c>
      <c r="G2" s="1" t="s">
        <v>219</v>
      </c>
      <c r="H2" s="1">
        <v>1990</v>
      </c>
      <c r="I2" s="1">
        <v>12</v>
      </c>
    </row>
    <row r="3" spans="1:13" x14ac:dyDescent="0.2">
      <c r="A3" s="1" t="s">
        <v>170</v>
      </c>
      <c r="B3" s="1" t="s">
        <v>172</v>
      </c>
      <c r="C3" s="1">
        <v>1990</v>
      </c>
      <c r="D3" s="1" t="s">
        <v>173</v>
      </c>
      <c r="E3" s="1" t="s">
        <v>222</v>
      </c>
      <c r="F3" s="1" t="s">
        <v>223</v>
      </c>
      <c r="G3" s="1" t="s">
        <v>219</v>
      </c>
      <c r="H3" s="1">
        <v>1990</v>
      </c>
    </row>
    <row r="4" spans="1:13" x14ac:dyDescent="0.2">
      <c r="A4" s="1" t="s">
        <v>170</v>
      </c>
      <c r="B4" s="1" t="s">
        <v>172</v>
      </c>
      <c r="C4" s="1">
        <v>1990</v>
      </c>
      <c r="D4" s="1" t="s">
        <v>173</v>
      </c>
      <c r="E4" s="1" t="s">
        <v>224</v>
      </c>
      <c r="F4" s="1" t="s">
        <v>223</v>
      </c>
      <c r="G4" s="1" t="s">
        <v>215</v>
      </c>
      <c r="H4" s="1">
        <v>1990</v>
      </c>
      <c r="I4" s="1">
        <f>ROUND(K4/365,2)</f>
        <v>3.93</v>
      </c>
      <c r="K4" s="1">
        <f>700000000*748.052/1000000/365</f>
        <v>1434.6202739726027</v>
      </c>
      <c r="M4" s="1" t="s">
        <v>231</v>
      </c>
    </row>
    <row r="5" spans="1:13" x14ac:dyDescent="0.2">
      <c r="A5" s="1" t="s">
        <v>170</v>
      </c>
      <c r="B5" s="1" t="s">
        <v>172</v>
      </c>
      <c r="C5" s="1">
        <v>1990</v>
      </c>
      <c r="D5" s="1" t="s">
        <v>173</v>
      </c>
      <c r="E5" s="1" t="s">
        <v>224</v>
      </c>
      <c r="F5" s="1" t="s">
        <v>223</v>
      </c>
      <c r="G5" s="1" t="s">
        <v>225</v>
      </c>
      <c r="H5" s="1">
        <v>1990</v>
      </c>
      <c r="I5" s="1">
        <f>ROUND(K5/365,2)</f>
        <v>2.25</v>
      </c>
      <c r="K5" s="1">
        <f>400000000*748.052/1000000/365</f>
        <v>819.78301369863016</v>
      </c>
    </row>
    <row r="6" spans="1:13" x14ac:dyDescent="0.2">
      <c r="A6" s="1" t="s">
        <v>170</v>
      </c>
      <c r="B6" s="1" t="s">
        <v>172</v>
      </c>
      <c r="C6" s="1">
        <v>1990</v>
      </c>
      <c r="D6" s="1" t="s">
        <v>173</v>
      </c>
      <c r="E6" s="1" t="s">
        <v>224</v>
      </c>
      <c r="F6" s="1" t="s">
        <v>223</v>
      </c>
      <c r="G6" s="1" t="s">
        <v>228</v>
      </c>
      <c r="H6" s="1">
        <v>1990</v>
      </c>
      <c r="I6" s="1">
        <f>ROUND(K6/365,2)</f>
        <v>1.8</v>
      </c>
      <c r="K6" s="1">
        <f>320000000*748.052/1000000/365</f>
        <v>655.82641095890415</v>
      </c>
    </row>
    <row r="7" spans="1:13" x14ac:dyDescent="0.2">
      <c r="A7" s="1" t="s">
        <v>170</v>
      </c>
      <c r="B7" s="1" t="s">
        <v>172</v>
      </c>
      <c r="C7" s="1">
        <v>1990</v>
      </c>
      <c r="D7" s="1" t="s">
        <v>173</v>
      </c>
      <c r="E7" s="1" t="s">
        <v>224</v>
      </c>
      <c r="F7" s="1" t="s">
        <v>223</v>
      </c>
      <c r="G7" s="1" t="s">
        <v>229</v>
      </c>
      <c r="H7" s="1">
        <v>1990</v>
      </c>
      <c r="I7" s="1">
        <f>ROUND(K7/365,2)</f>
        <v>0.38</v>
      </c>
      <c r="K7" s="1">
        <f>67000000*748.052/1000000/365</f>
        <v>137.31365479452055</v>
      </c>
    </row>
    <row r="8" spans="1:13" x14ac:dyDescent="0.2">
      <c r="A8" s="1" t="s">
        <v>170</v>
      </c>
      <c r="B8" s="1" t="s">
        <v>172</v>
      </c>
      <c r="C8" s="1">
        <v>1990</v>
      </c>
      <c r="D8" s="1" t="s">
        <v>173</v>
      </c>
      <c r="E8" s="1" t="s">
        <v>224</v>
      </c>
      <c r="F8" s="1" t="s">
        <v>223</v>
      </c>
      <c r="G8" s="1" t="s">
        <v>219</v>
      </c>
      <c r="H8" s="1">
        <v>1990</v>
      </c>
      <c r="I8" s="1">
        <f>ROUND(K8/365,2)</f>
        <v>8.57</v>
      </c>
      <c r="K8" s="1">
        <f>(700000000+440000000+320000000+67000000)*748.052/1000000/365</f>
        <v>3129.5216547945206</v>
      </c>
    </row>
    <row r="9" spans="1:13" x14ac:dyDescent="0.2">
      <c r="A9" s="1" t="s">
        <v>170</v>
      </c>
      <c r="B9" s="1" t="s">
        <v>172</v>
      </c>
      <c r="C9" s="1">
        <v>1990</v>
      </c>
      <c r="D9" s="1" t="s">
        <v>281</v>
      </c>
      <c r="E9" s="1" t="s">
        <v>221</v>
      </c>
      <c r="F9" s="1" t="s">
        <v>223</v>
      </c>
      <c r="G9" s="1" t="s">
        <v>219</v>
      </c>
      <c r="H9" s="1">
        <v>1990</v>
      </c>
      <c r="I9" s="1">
        <v>7.4</v>
      </c>
      <c r="M9" s="1" t="s">
        <v>282</v>
      </c>
    </row>
    <row r="10" spans="1:13" x14ac:dyDescent="0.2">
      <c r="A10" s="1" t="s">
        <v>170</v>
      </c>
      <c r="B10" s="1" t="s">
        <v>172</v>
      </c>
      <c r="C10" s="1">
        <v>1990</v>
      </c>
      <c r="D10" s="1" t="s">
        <v>281</v>
      </c>
      <c r="E10" s="1" t="s">
        <v>224</v>
      </c>
      <c r="F10" s="1" t="s">
        <v>216</v>
      </c>
      <c r="G10" s="1" t="s">
        <v>239</v>
      </c>
      <c r="H10" s="1">
        <v>1992</v>
      </c>
      <c r="I10" s="1">
        <v>6.38</v>
      </c>
      <c r="J10" s="1">
        <v>10.5</v>
      </c>
      <c r="M10" s="1" t="s">
        <v>283</v>
      </c>
    </row>
    <row r="11" spans="1:13" x14ac:dyDescent="0.2">
      <c r="A11" s="1" t="s">
        <v>170</v>
      </c>
      <c r="B11" s="1" t="s">
        <v>172</v>
      </c>
      <c r="C11" s="1">
        <v>1990</v>
      </c>
      <c r="D11" s="1" t="s">
        <v>281</v>
      </c>
      <c r="E11" s="1" t="s">
        <v>224</v>
      </c>
      <c r="F11" s="1" t="s">
        <v>216</v>
      </c>
      <c r="G11" s="1" t="s">
        <v>240</v>
      </c>
      <c r="H11" s="1">
        <v>1992</v>
      </c>
      <c r="I11" s="1">
        <v>1.37</v>
      </c>
      <c r="J11" s="1">
        <v>3.6</v>
      </c>
    </row>
    <row r="12" spans="1:13" x14ac:dyDescent="0.2">
      <c r="A12" s="1" t="s">
        <v>170</v>
      </c>
      <c r="B12" s="1" t="s">
        <v>172</v>
      </c>
      <c r="C12" s="1">
        <v>1990</v>
      </c>
      <c r="D12" s="1" t="s">
        <v>281</v>
      </c>
      <c r="E12" s="1" t="s">
        <v>224</v>
      </c>
      <c r="F12" s="1" t="s">
        <v>216</v>
      </c>
      <c r="G12" s="1" t="s">
        <v>238</v>
      </c>
      <c r="H12" s="1">
        <v>1992</v>
      </c>
      <c r="I12" s="1">
        <v>0.11</v>
      </c>
      <c r="J12" s="1">
        <v>0.35</v>
      </c>
    </row>
    <row r="13" spans="1:13" x14ac:dyDescent="0.2">
      <c r="A13" s="1" t="s">
        <v>170</v>
      </c>
      <c r="B13" s="1" t="s">
        <v>172</v>
      </c>
      <c r="C13" s="1">
        <v>1990</v>
      </c>
      <c r="D13" s="1" t="s">
        <v>281</v>
      </c>
      <c r="E13" s="1" t="s">
        <v>224</v>
      </c>
      <c r="F13" s="1" t="s">
        <v>216</v>
      </c>
      <c r="G13" s="1" t="s">
        <v>205</v>
      </c>
      <c r="H13" s="1">
        <v>1992</v>
      </c>
      <c r="I13" s="1">
        <v>1.36</v>
      </c>
      <c r="J13" s="1">
        <v>1.6</v>
      </c>
    </row>
    <row r="14" spans="1:13" x14ac:dyDescent="0.2">
      <c r="A14" s="1" t="s">
        <v>170</v>
      </c>
      <c r="B14" s="1" t="s">
        <v>172</v>
      </c>
      <c r="C14" s="1">
        <v>1990</v>
      </c>
      <c r="D14" s="1" t="s">
        <v>281</v>
      </c>
      <c r="E14" s="1" t="s">
        <v>224</v>
      </c>
      <c r="F14" s="1" t="s">
        <v>219</v>
      </c>
      <c r="G14" s="1" t="s">
        <v>219</v>
      </c>
      <c r="H14" s="1">
        <v>1992</v>
      </c>
      <c r="I14" s="1">
        <v>9.2200000000000006</v>
      </c>
      <c r="J14" s="1">
        <v>15.6</v>
      </c>
    </row>
    <row r="15" spans="1:13" x14ac:dyDescent="0.2">
      <c r="A15" s="1" t="s">
        <v>170</v>
      </c>
      <c r="B15" s="1" t="s">
        <v>172</v>
      </c>
      <c r="C15" s="1">
        <v>1995</v>
      </c>
      <c r="D15" s="1" t="s">
        <v>173</v>
      </c>
      <c r="E15" s="1" t="s">
        <v>221</v>
      </c>
      <c r="F15" s="1" t="s">
        <v>223</v>
      </c>
      <c r="G15" s="1" t="s">
        <v>219</v>
      </c>
      <c r="H15" s="1">
        <v>1994</v>
      </c>
      <c r="I15" s="1">
        <v>12</v>
      </c>
    </row>
    <row r="16" spans="1:13" x14ac:dyDescent="0.2">
      <c r="A16" s="1" t="s">
        <v>170</v>
      </c>
      <c r="B16" s="1" t="s">
        <v>172</v>
      </c>
      <c r="C16" s="1">
        <v>1995</v>
      </c>
      <c r="D16" s="1" t="s">
        <v>173</v>
      </c>
      <c r="E16" s="1" t="s">
        <v>222</v>
      </c>
      <c r="F16" s="1" t="s">
        <v>223</v>
      </c>
      <c r="G16" s="1" t="s">
        <v>219</v>
      </c>
      <c r="H16" s="1">
        <v>1994</v>
      </c>
    </row>
    <row r="17" spans="1:13" x14ac:dyDescent="0.2">
      <c r="A17" s="1" t="s">
        <v>170</v>
      </c>
      <c r="B17" s="1" t="s">
        <v>172</v>
      </c>
      <c r="C17" s="1">
        <v>1995</v>
      </c>
      <c r="D17" s="1" t="s">
        <v>173</v>
      </c>
      <c r="E17" s="1" t="s">
        <v>224</v>
      </c>
      <c r="F17" s="1" t="s">
        <v>223</v>
      </c>
      <c r="G17" s="1" t="s">
        <v>215</v>
      </c>
      <c r="H17" s="1">
        <v>1994</v>
      </c>
      <c r="I17" s="1">
        <f>ROUND(K17/365,2)</f>
        <v>4.41</v>
      </c>
      <c r="K17" s="1">
        <f>785000000*748.052/1000000/365</f>
        <v>1608.8241643835615</v>
      </c>
      <c r="M17" s="1" t="s">
        <v>231</v>
      </c>
    </row>
    <row r="18" spans="1:13" x14ac:dyDescent="0.2">
      <c r="A18" s="1" t="s">
        <v>170</v>
      </c>
      <c r="B18" s="1" t="s">
        <v>172</v>
      </c>
      <c r="C18" s="1">
        <v>1995</v>
      </c>
      <c r="D18" s="1" t="s">
        <v>173</v>
      </c>
      <c r="E18" s="1" t="s">
        <v>224</v>
      </c>
      <c r="F18" s="1" t="s">
        <v>223</v>
      </c>
      <c r="G18" s="1" t="s">
        <v>225</v>
      </c>
      <c r="H18" s="1">
        <v>1994</v>
      </c>
      <c r="I18" s="1">
        <f>ROUND(K18/365,2)</f>
        <v>1.73</v>
      </c>
      <c r="K18" s="1">
        <f>308000000*748.052/1000000/365</f>
        <v>631.23292054794524</v>
      </c>
    </row>
    <row r="19" spans="1:13" x14ac:dyDescent="0.2">
      <c r="A19" s="1" t="s">
        <v>170</v>
      </c>
      <c r="B19" s="1" t="s">
        <v>172</v>
      </c>
      <c r="C19" s="1">
        <v>1995</v>
      </c>
      <c r="D19" s="1" t="s">
        <v>173</v>
      </c>
      <c r="E19" s="1" t="s">
        <v>224</v>
      </c>
      <c r="F19" s="1" t="s">
        <v>223</v>
      </c>
      <c r="G19" s="1" t="s">
        <v>228</v>
      </c>
      <c r="H19" s="1">
        <v>1994</v>
      </c>
      <c r="I19" s="1">
        <f>ROUND(K19/365,2)</f>
        <v>1.76</v>
      </c>
      <c r="K19" s="1">
        <f>313000000*748.052/1000000/365</f>
        <v>641.48020821917817</v>
      </c>
    </row>
    <row r="20" spans="1:13" x14ac:dyDescent="0.2">
      <c r="A20" s="1" t="s">
        <v>170</v>
      </c>
      <c r="B20" s="1" t="s">
        <v>172</v>
      </c>
      <c r="C20" s="1">
        <v>1995</v>
      </c>
      <c r="D20" s="1" t="s">
        <v>173</v>
      </c>
      <c r="E20" s="1" t="s">
        <v>224</v>
      </c>
      <c r="F20" s="1" t="s">
        <v>223</v>
      </c>
      <c r="G20" s="1" t="s">
        <v>229</v>
      </c>
      <c r="H20" s="1">
        <v>1994</v>
      </c>
      <c r="I20" s="1">
        <f>ROUND(K20/365,2)</f>
        <v>0.48</v>
      </c>
      <c r="K20" s="1">
        <f>86000000*748.052/1000000/365</f>
        <v>176.25334794520549</v>
      </c>
    </row>
    <row r="21" spans="1:13" x14ac:dyDescent="0.2">
      <c r="A21" s="1" t="s">
        <v>170</v>
      </c>
      <c r="B21" s="1" t="s">
        <v>172</v>
      </c>
      <c r="C21" s="1">
        <v>1995</v>
      </c>
      <c r="D21" s="1" t="s">
        <v>173</v>
      </c>
      <c r="E21" s="1" t="s">
        <v>224</v>
      </c>
      <c r="F21" s="1" t="s">
        <v>223</v>
      </c>
      <c r="G21" s="1" t="s">
        <v>219</v>
      </c>
      <c r="H21" s="1">
        <v>1994</v>
      </c>
      <c r="I21" s="1">
        <f>ROUND(K21/365,2)</f>
        <v>8.3800000000000008</v>
      </c>
      <c r="K21" s="1">
        <f>SUM(K17:K20)</f>
        <v>3057.7906410958904</v>
      </c>
    </row>
    <row r="22" spans="1:13" x14ac:dyDescent="0.2">
      <c r="A22" s="1" t="s">
        <v>170</v>
      </c>
      <c r="B22" s="1" t="s">
        <v>172</v>
      </c>
      <c r="C22" s="1">
        <v>1996</v>
      </c>
      <c r="D22" s="1" t="s">
        <v>281</v>
      </c>
      <c r="E22" s="1" t="s">
        <v>221</v>
      </c>
      <c r="F22" s="1" t="s">
        <v>223</v>
      </c>
      <c r="G22" s="1" t="s">
        <v>219</v>
      </c>
      <c r="H22" s="1">
        <v>1994</v>
      </c>
      <c r="I22" s="1">
        <v>15.6</v>
      </c>
    </row>
    <row r="23" spans="1:13" x14ac:dyDescent="0.2">
      <c r="A23" s="1" t="s">
        <v>170</v>
      </c>
      <c r="B23" s="1" t="s">
        <v>172</v>
      </c>
      <c r="C23" s="1">
        <v>1996</v>
      </c>
      <c r="D23" s="1" t="s">
        <v>281</v>
      </c>
      <c r="E23" s="1" t="s">
        <v>224</v>
      </c>
      <c r="F23" s="1" t="s">
        <v>219</v>
      </c>
      <c r="G23" s="1" t="s">
        <v>219</v>
      </c>
      <c r="H23" s="1">
        <v>1995</v>
      </c>
      <c r="J23" s="1">
        <v>7.4</v>
      </c>
    </row>
    <row r="24" spans="1:13" x14ac:dyDescent="0.2">
      <c r="A24" s="1" t="s">
        <v>170</v>
      </c>
      <c r="B24" s="1" t="s">
        <v>172</v>
      </c>
      <c r="C24" s="1">
        <v>1990</v>
      </c>
      <c r="D24" s="1" t="s">
        <v>281</v>
      </c>
      <c r="E24" s="1" t="s">
        <v>224</v>
      </c>
      <c r="F24" s="1" t="s">
        <v>216</v>
      </c>
      <c r="G24" s="1" t="s">
        <v>239</v>
      </c>
      <c r="H24" s="1">
        <v>1992</v>
      </c>
      <c r="J24" s="1">
        <v>5.6</v>
      </c>
    </row>
    <row r="25" spans="1:13" x14ac:dyDescent="0.2">
      <c r="A25" s="1" t="s">
        <v>170</v>
      </c>
      <c r="B25" s="1" t="s">
        <v>172</v>
      </c>
      <c r="C25" s="1">
        <v>1990</v>
      </c>
      <c r="D25" s="1" t="s">
        <v>281</v>
      </c>
      <c r="E25" s="1" t="s">
        <v>224</v>
      </c>
      <c r="F25" s="1" t="s">
        <v>216</v>
      </c>
      <c r="G25" s="1" t="s">
        <v>240</v>
      </c>
      <c r="H25" s="1">
        <v>1992</v>
      </c>
      <c r="J25" s="1">
        <v>0.65</v>
      </c>
    </row>
    <row r="26" spans="1:13" x14ac:dyDescent="0.2">
      <c r="A26" s="1" t="s">
        <v>170</v>
      </c>
      <c r="B26" s="1" t="s">
        <v>172</v>
      </c>
      <c r="C26" s="1">
        <v>1990</v>
      </c>
      <c r="D26" s="1" t="s">
        <v>281</v>
      </c>
      <c r="E26" s="1" t="s">
        <v>224</v>
      </c>
      <c r="F26" s="1" t="s">
        <v>216</v>
      </c>
      <c r="G26" s="1" t="s">
        <v>238</v>
      </c>
      <c r="H26" s="1">
        <v>1992</v>
      </c>
      <c r="J26" s="1">
        <v>0.35</v>
      </c>
    </row>
    <row r="27" spans="1:13" x14ac:dyDescent="0.2">
      <c r="A27" s="1" t="s">
        <v>170</v>
      </c>
      <c r="B27" s="1" t="s">
        <v>172</v>
      </c>
      <c r="C27" s="1">
        <v>1990</v>
      </c>
      <c r="D27" s="1" t="s">
        <v>281</v>
      </c>
      <c r="E27" s="1" t="s">
        <v>224</v>
      </c>
      <c r="F27" s="1" t="s">
        <v>216</v>
      </c>
      <c r="G27" s="1" t="s">
        <v>205</v>
      </c>
      <c r="H27" s="1">
        <v>1992</v>
      </c>
      <c r="J27" s="1">
        <v>0.8</v>
      </c>
    </row>
    <row r="28" spans="1:13" x14ac:dyDescent="0.2">
      <c r="A28" s="1" t="s">
        <v>170</v>
      </c>
      <c r="B28" s="1" t="s">
        <v>172</v>
      </c>
      <c r="C28" s="1">
        <v>1998</v>
      </c>
      <c r="D28" s="1" t="s">
        <v>173</v>
      </c>
      <c r="E28" s="1" t="s">
        <v>221</v>
      </c>
      <c r="F28" s="1" t="s">
        <v>223</v>
      </c>
      <c r="G28" s="1" t="s">
        <v>219</v>
      </c>
      <c r="H28" s="1">
        <v>1997</v>
      </c>
      <c r="I28" s="1">
        <v>12</v>
      </c>
    </row>
    <row r="29" spans="1:13" x14ac:dyDescent="0.2">
      <c r="A29" s="1" t="s">
        <v>170</v>
      </c>
      <c r="B29" s="1" t="s">
        <v>172</v>
      </c>
      <c r="C29" s="1">
        <v>1998</v>
      </c>
      <c r="D29" s="1" t="s">
        <v>173</v>
      </c>
      <c r="E29" s="1" t="s">
        <v>222</v>
      </c>
      <c r="F29" s="1" t="s">
        <v>223</v>
      </c>
      <c r="G29" s="1" t="s">
        <v>219</v>
      </c>
      <c r="H29" s="1">
        <v>1997</v>
      </c>
    </row>
    <row r="30" spans="1:13" x14ac:dyDescent="0.2">
      <c r="A30" s="1" t="s">
        <v>170</v>
      </c>
      <c r="B30" s="1" t="s">
        <v>172</v>
      </c>
      <c r="C30" s="1">
        <v>1998</v>
      </c>
      <c r="D30" s="1" t="s">
        <v>173</v>
      </c>
      <c r="E30" s="1" t="s">
        <v>224</v>
      </c>
      <c r="F30" s="1" t="s">
        <v>223</v>
      </c>
      <c r="G30" s="1" t="s">
        <v>215</v>
      </c>
      <c r="H30" s="1">
        <v>1997</v>
      </c>
      <c r="I30" s="1">
        <f>ROUND(K30/365,2)</f>
        <v>4.8899999999999997</v>
      </c>
      <c r="K30" s="1">
        <f>871247000*748.052/1000000/365</f>
        <v>1785.5837283397259</v>
      </c>
      <c r="M30" s="1" t="s">
        <v>231</v>
      </c>
    </row>
    <row r="31" spans="1:13" x14ac:dyDescent="0.2">
      <c r="A31" s="1" t="s">
        <v>170</v>
      </c>
      <c r="B31" s="1" t="s">
        <v>172</v>
      </c>
      <c r="C31" s="1">
        <v>1998</v>
      </c>
      <c r="D31" s="1" t="s">
        <v>173</v>
      </c>
      <c r="E31" s="1" t="s">
        <v>224</v>
      </c>
      <c r="F31" s="1" t="s">
        <v>223</v>
      </c>
      <c r="G31" s="1" t="s">
        <v>225</v>
      </c>
      <c r="H31" s="1">
        <v>1997</v>
      </c>
      <c r="I31" s="1">
        <f>ROUND(K31/365,2)</f>
        <v>1.73</v>
      </c>
      <c r="K31" s="1">
        <f>308193000*748.052/1000000/365</f>
        <v>631.62846585205477</v>
      </c>
    </row>
    <row r="32" spans="1:13" x14ac:dyDescent="0.2">
      <c r="A32" s="1" t="s">
        <v>170</v>
      </c>
      <c r="B32" s="1" t="s">
        <v>172</v>
      </c>
      <c r="C32" s="1">
        <v>1998</v>
      </c>
      <c r="D32" s="1" t="s">
        <v>173</v>
      </c>
      <c r="E32" s="1" t="s">
        <v>224</v>
      </c>
      <c r="F32" s="1" t="s">
        <v>223</v>
      </c>
      <c r="G32" s="1" t="s">
        <v>228</v>
      </c>
      <c r="H32" s="1">
        <v>1997</v>
      </c>
      <c r="I32" s="1">
        <f>ROUND(K32/365,2)</f>
        <v>1.57</v>
      </c>
      <c r="K32" s="1">
        <f>279910000*748.052/1000000/365</f>
        <v>573.66365841095887</v>
      </c>
    </row>
    <row r="33" spans="1:13" x14ac:dyDescent="0.2">
      <c r="A33" s="1" t="s">
        <v>170</v>
      </c>
      <c r="B33" s="1" t="s">
        <v>172</v>
      </c>
      <c r="C33" s="1">
        <v>1998</v>
      </c>
      <c r="D33" s="1" t="s">
        <v>173</v>
      </c>
      <c r="E33" s="1" t="s">
        <v>224</v>
      </c>
      <c r="F33" s="1" t="s">
        <v>223</v>
      </c>
      <c r="G33" s="1" t="s">
        <v>229</v>
      </c>
      <c r="H33" s="1">
        <v>1997</v>
      </c>
      <c r="I33" s="1">
        <f>ROUND(K33/365,2)</f>
        <v>1.05</v>
      </c>
      <c r="K33" s="1">
        <f>8*K32/12</f>
        <v>382.44243894063925</v>
      </c>
      <c r="M33" s="1" t="s">
        <v>462</v>
      </c>
    </row>
    <row r="34" spans="1:13" x14ac:dyDescent="0.2">
      <c r="A34" s="1" t="s">
        <v>170</v>
      </c>
      <c r="B34" s="1" t="s">
        <v>172</v>
      </c>
      <c r="C34" s="1">
        <v>1998</v>
      </c>
      <c r="D34" s="1" t="s">
        <v>173</v>
      </c>
      <c r="E34" s="1" t="s">
        <v>224</v>
      </c>
      <c r="F34" s="1" t="s">
        <v>223</v>
      </c>
      <c r="G34" s="1" t="s">
        <v>219</v>
      </c>
      <c r="H34" s="1">
        <v>1997</v>
      </c>
      <c r="I34" s="1">
        <f>ROUND(K34/365,2)</f>
        <v>9.24</v>
      </c>
      <c r="K34" s="1">
        <f>SUM(K30:K33)</f>
        <v>3373.318291543379</v>
      </c>
    </row>
    <row r="35" spans="1:13" x14ac:dyDescent="0.2">
      <c r="A35" s="1" t="s">
        <v>170</v>
      </c>
      <c r="B35" s="1" t="s">
        <v>172</v>
      </c>
      <c r="C35" s="1">
        <v>2003</v>
      </c>
      <c r="D35" s="1" t="s">
        <v>173</v>
      </c>
      <c r="E35" s="1" t="s">
        <v>221</v>
      </c>
      <c r="F35" s="1" t="s">
        <v>223</v>
      </c>
      <c r="G35" s="1" t="s">
        <v>219</v>
      </c>
      <c r="H35" s="1">
        <v>2002</v>
      </c>
      <c r="I35" s="1">
        <v>12</v>
      </c>
    </row>
    <row r="36" spans="1:13" x14ac:dyDescent="0.2">
      <c r="A36" s="1" t="s">
        <v>170</v>
      </c>
      <c r="B36" s="1" t="s">
        <v>172</v>
      </c>
      <c r="C36" s="1">
        <v>2003</v>
      </c>
      <c r="D36" s="1" t="s">
        <v>173</v>
      </c>
      <c r="E36" s="1" t="s">
        <v>222</v>
      </c>
      <c r="F36" s="1" t="s">
        <v>223</v>
      </c>
      <c r="G36" s="1" t="s">
        <v>219</v>
      </c>
      <c r="H36" s="1">
        <v>2002</v>
      </c>
    </row>
    <row r="37" spans="1:13" x14ac:dyDescent="0.2">
      <c r="A37" s="1" t="s">
        <v>170</v>
      </c>
      <c r="B37" s="1" t="s">
        <v>172</v>
      </c>
      <c r="C37" s="1">
        <v>2003</v>
      </c>
      <c r="D37" s="1" t="s">
        <v>173</v>
      </c>
      <c r="E37" s="1" t="s">
        <v>224</v>
      </c>
      <c r="F37" s="1" t="s">
        <v>223</v>
      </c>
      <c r="G37" s="1" t="s">
        <v>215</v>
      </c>
      <c r="H37" s="1">
        <v>2002</v>
      </c>
      <c r="I37" s="1">
        <f>ROUND(K37/365,2)</f>
        <v>4.07</v>
      </c>
      <c r="K37" s="1">
        <f>725276900*748.052/1000000/365</f>
        <v>1486.4242071199999</v>
      </c>
      <c r="M37" s="1" t="s">
        <v>231</v>
      </c>
    </row>
    <row r="38" spans="1:13" x14ac:dyDescent="0.2">
      <c r="A38" s="1" t="s">
        <v>170</v>
      </c>
      <c r="B38" s="1" t="s">
        <v>172</v>
      </c>
      <c r="C38" s="1">
        <v>2003</v>
      </c>
      <c r="D38" s="1" t="s">
        <v>173</v>
      </c>
      <c r="E38" s="1" t="s">
        <v>224</v>
      </c>
      <c r="F38" s="1" t="s">
        <v>223</v>
      </c>
      <c r="G38" s="1" t="s">
        <v>225</v>
      </c>
      <c r="H38" s="1">
        <v>2002</v>
      </c>
      <c r="I38" s="1">
        <f>ROUND(K38/365,2)</f>
        <v>0.95</v>
      </c>
      <c r="K38" s="1">
        <f>169719890*748.052/1000000/365</f>
        <v>347.83370727200003</v>
      </c>
    </row>
    <row r="39" spans="1:13" x14ac:dyDescent="0.2">
      <c r="A39" s="1" t="s">
        <v>170</v>
      </c>
      <c r="B39" s="1" t="s">
        <v>172</v>
      </c>
      <c r="C39" s="1">
        <v>2003</v>
      </c>
      <c r="D39" s="1" t="s">
        <v>173</v>
      </c>
      <c r="E39" s="1" t="s">
        <v>224</v>
      </c>
      <c r="F39" s="1" t="s">
        <v>223</v>
      </c>
      <c r="G39" s="1" t="s">
        <v>228</v>
      </c>
      <c r="H39" s="1">
        <v>2002</v>
      </c>
      <c r="I39" s="1">
        <f>ROUND(K39/365,2)</f>
        <v>0.87</v>
      </c>
      <c r="K39" s="1">
        <f>155049080*748.052/1000000/365</f>
        <v>317.76650518400004</v>
      </c>
    </row>
    <row r="40" spans="1:13" x14ac:dyDescent="0.2">
      <c r="A40" s="1" t="s">
        <v>170</v>
      </c>
      <c r="B40" s="1" t="s">
        <v>172</v>
      </c>
      <c r="C40" s="1">
        <v>2003</v>
      </c>
      <c r="D40" s="1" t="s">
        <v>173</v>
      </c>
      <c r="E40" s="1" t="s">
        <v>224</v>
      </c>
      <c r="F40" s="1" t="s">
        <v>223</v>
      </c>
      <c r="G40" s="1" t="s">
        <v>229</v>
      </c>
      <c r="H40" s="1">
        <v>2002</v>
      </c>
      <c r="I40" s="1">
        <f>ROUND(K40/365,2)</f>
        <v>0.52</v>
      </c>
      <c r="K40" s="1">
        <f>6*K39/10</f>
        <v>190.65990311040002</v>
      </c>
    </row>
    <row r="41" spans="1:13" x14ac:dyDescent="0.2">
      <c r="A41" s="1" t="s">
        <v>170</v>
      </c>
      <c r="B41" s="1" t="s">
        <v>172</v>
      </c>
      <c r="C41" s="1">
        <v>2003</v>
      </c>
      <c r="D41" s="1" t="s">
        <v>173</v>
      </c>
      <c r="E41" s="1" t="s">
        <v>224</v>
      </c>
      <c r="F41" s="1" t="s">
        <v>223</v>
      </c>
      <c r="G41" s="1" t="s">
        <v>219</v>
      </c>
      <c r="H41" s="1">
        <v>2002</v>
      </c>
      <c r="I41" s="1">
        <f>ROUND(K41/365,2)</f>
        <v>6.42</v>
      </c>
      <c r="K41" s="1">
        <f>SUM(K37:K40)</f>
        <v>2342.6843226864003</v>
      </c>
    </row>
    <row r="42" spans="1:13" x14ac:dyDescent="0.2">
      <c r="A42" s="1" t="s">
        <v>170</v>
      </c>
      <c r="B42" s="1" t="s">
        <v>172</v>
      </c>
      <c r="C42" s="1">
        <v>2003</v>
      </c>
      <c r="D42" s="1" t="s">
        <v>281</v>
      </c>
      <c r="E42" s="1" t="s">
        <v>221</v>
      </c>
      <c r="F42" s="1" t="s">
        <v>223</v>
      </c>
      <c r="G42" s="1" t="s">
        <v>219</v>
      </c>
      <c r="H42" s="1">
        <v>2002</v>
      </c>
      <c r="I42" s="1">
        <v>15.6</v>
      </c>
    </row>
    <row r="43" spans="1:13" x14ac:dyDescent="0.2">
      <c r="A43" s="1" t="s">
        <v>170</v>
      </c>
      <c r="B43" s="1" t="s">
        <v>172</v>
      </c>
      <c r="C43" s="1">
        <v>2004</v>
      </c>
      <c r="D43" s="1" t="s">
        <v>281</v>
      </c>
      <c r="E43" s="1" t="s">
        <v>221</v>
      </c>
      <c r="F43" s="1" t="s">
        <v>223</v>
      </c>
      <c r="G43" s="1" t="s">
        <v>219</v>
      </c>
      <c r="H43" s="1">
        <v>2002</v>
      </c>
      <c r="I43" s="1">
        <v>15.6</v>
      </c>
    </row>
    <row r="44" spans="1:13" x14ac:dyDescent="0.2">
      <c r="A44" s="1" t="s">
        <v>170</v>
      </c>
      <c r="B44" s="1" t="s">
        <v>172</v>
      </c>
      <c r="C44" s="1">
        <v>2005</v>
      </c>
      <c r="D44" s="1" t="s">
        <v>281</v>
      </c>
      <c r="E44" s="1" t="s">
        <v>221</v>
      </c>
      <c r="F44" s="1" t="s">
        <v>223</v>
      </c>
      <c r="G44" s="1" t="s">
        <v>219</v>
      </c>
      <c r="H44" s="1">
        <v>2004</v>
      </c>
      <c r="I44" s="1">
        <v>15.6</v>
      </c>
    </row>
    <row r="45" spans="1:13" x14ac:dyDescent="0.2">
      <c r="A45" s="1" t="s">
        <v>170</v>
      </c>
      <c r="B45" s="1" t="s">
        <v>172</v>
      </c>
      <c r="C45" s="1">
        <v>2005</v>
      </c>
      <c r="D45" s="1" t="s">
        <v>281</v>
      </c>
      <c r="E45" s="1" t="s">
        <v>224</v>
      </c>
      <c r="F45" s="1" t="s">
        <v>216</v>
      </c>
      <c r="G45" s="1" t="s">
        <v>239</v>
      </c>
      <c r="H45" s="1">
        <v>2004</v>
      </c>
      <c r="I45" s="1">
        <v>10.050000000000001</v>
      </c>
      <c r="M45" s="1" t="s">
        <v>515</v>
      </c>
    </row>
    <row r="46" spans="1:13" x14ac:dyDescent="0.2">
      <c r="A46" s="1" t="s">
        <v>170</v>
      </c>
      <c r="B46" s="1" t="s">
        <v>172</v>
      </c>
      <c r="C46" s="1">
        <v>2005</v>
      </c>
      <c r="D46" s="1" t="s">
        <v>281</v>
      </c>
      <c r="E46" s="1" t="s">
        <v>224</v>
      </c>
      <c r="F46" s="1" t="s">
        <v>216</v>
      </c>
      <c r="G46" s="1" t="s">
        <v>240</v>
      </c>
      <c r="H46" s="1">
        <v>2004</v>
      </c>
      <c r="I46" s="1">
        <v>3.6</v>
      </c>
      <c r="M46" s="1" t="s">
        <v>515</v>
      </c>
    </row>
    <row r="47" spans="1:13" x14ac:dyDescent="0.2">
      <c r="A47" s="1" t="s">
        <v>170</v>
      </c>
      <c r="B47" s="1" t="s">
        <v>172</v>
      </c>
      <c r="C47" s="1">
        <v>2005</v>
      </c>
      <c r="D47" s="1" t="s">
        <v>281</v>
      </c>
      <c r="E47" s="1" t="s">
        <v>224</v>
      </c>
      <c r="F47" s="1" t="s">
        <v>216</v>
      </c>
      <c r="G47" s="1" t="s">
        <v>238</v>
      </c>
      <c r="H47" s="1">
        <v>2004</v>
      </c>
      <c r="I47" s="1">
        <v>0.35</v>
      </c>
      <c r="M47" s="1" t="s">
        <v>515</v>
      </c>
    </row>
    <row r="48" spans="1:13" x14ac:dyDescent="0.2">
      <c r="A48" s="1" t="s">
        <v>170</v>
      </c>
      <c r="B48" s="1" t="s">
        <v>172</v>
      </c>
      <c r="C48" s="1">
        <v>2005</v>
      </c>
      <c r="D48" s="1" t="s">
        <v>281</v>
      </c>
      <c r="E48" s="1" t="s">
        <v>224</v>
      </c>
      <c r="F48" s="1" t="s">
        <v>216</v>
      </c>
      <c r="G48" s="1" t="s">
        <v>205</v>
      </c>
      <c r="H48" s="1">
        <v>2004</v>
      </c>
      <c r="I48" s="1">
        <v>1.6</v>
      </c>
      <c r="M48" s="1" t="s">
        <v>515</v>
      </c>
    </row>
    <row r="49" spans="1:13" x14ac:dyDescent="0.2">
      <c r="A49" s="1" t="s">
        <v>170</v>
      </c>
      <c r="B49" s="1" t="s">
        <v>172</v>
      </c>
      <c r="C49" s="1">
        <v>2005</v>
      </c>
      <c r="D49" s="1" t="s">
        <v>281</v>
      </c>
      <c r="E49" s="1" t="s">
        <v>224</v>
      </c>
      <c r="F49" s="1" t="s">
        <v>219</v>
      </c>
      <c r="G49" s="1" t="s">
        <v>219</v>
      </c>
      <c r="H49" s="1">
        <v>2004</v>
      </c>
      <c r="I49" s="1">
        <v>15.6</v>
      </c>
      <c r="M49" s="1" t="s">
        <v>515</v>
      </c>
    </row>
    <row r="50" spans="1:13" x14ac:dyDescent="0.2">
      <c r="A50" s="1" t="s">
        <v>170</v>
      </c>
      <c r="B50" s="1" t="s">
        <v>172</v>
      </c>
      <c r="C50" s="1">
        <v>2006</v>
      </c>
      <c r="D50" s="1" t="s">
        <v>281</v>
      </c>
      <c r="E50" s="1" t="s">
        <v>221</v>
      </c>
      <c r="F50" s="1" t="s">
        <v>223</v>
      </c>
      <c r="G50" s="1" t="s">
        <v>219</v>
      </c>
      <c r="H50" s="1">
        <v>2005</v>
      </c>
      <c r="I50" s="1">
        <v>15.6</v>
      </c>
    </row>
    <row r="51" spans="1:13" x14ac:dyDescent="0.2">
      <c r="A51" s="1" t="s">
        <v>170</v>
      </c>
      <c r="B51" s="1" t="s">
        <v>172</v>
      </c>
      <c r="C51" s="1">
        <v>2006</v>
      </c>
      <c r="D51" s="1" t="s">
        <v>281</v>
      </c>
      <c r="E51" s="1" t="s">
        <v>224</v>
      </c>
      <c r="F51" s="1" t="s">
        <v>216</v>
      </c>
      <c r="G51" s="1" t="s">
        <v>239</v>
      </c>
      <c r="H51" s="1">
        <v>2005</v>
      </c>
      <c r="I51" s="1">
        <v>1.3</v>
      </c>
      <c r="M51" s="1" t="s">
        <v>555</v>
      </c>
    </row>
    <row r="52" spans="1:13" x14ac:dyDescent="0.2">
      <c r="A52" s="1" t="s">
        <v>170</v>
      </c>
      <c r="B52" s="1" t="s">
        <v>172</v>
      </c>
      <c r="C52" s="1">
        <v>2006</v>
      </c>
      <c r="D52" s="1" t="s">
        <v>281</v>
      </c>
      <c r="E52" s="1" t="s">
        <v>224</v>
      </c>
      <c r="F52" s="1" t="s">
        <v>216</v>
      </c>
      <c r="G52" s="1" t="s">
        <v>240</v>
      </c>
      <c r="H52" s="1">
        <v>2005</v>
      </c>
      <c r="I52" s="1">
        <f>0.5</f>
        <v>0.5</v>
      </c>
      <c r="M52" s="1" t="s">
        <v>553</v>
      </c>
    </row>
    <row r="53" spans="1:13" x14ac:dyDescent="0.2">
      <c r="A53" s="1" t="s">
        <v>170</v>
      </c>
      <c r="B53" s="1" t="s">
        <v>172</v>
      </c>
      <c r="C53" s="1">
        <v>2006</v>
      </c>
      <c r="D53" s="1" t="s">
        <v>281</v>
      </c>
      <c r="E53" s="1" t="s">
        <v>224</v>
      </c>
      <c r="F53" s="1" t="s">
        <v>216</v>
      </c>
      <c r="G53" s="1" t="s">
        <v>238</v>
      </c>
      <c r="H53" s="1">
        <v>2005</v>
      </c>
      <c r="I53" s="1">
        <v>0.18840000000000001</v>
      </c>
      <c r="M53" s="1" t="s">
        <v>554</v>
      </c>
    </row>
    <row r="54" spans="1:13" x14ac:dyDescent="0.2">
      <c r="A54" s="1" t="s">
        <v>170</v>
      </c>
      <c r="B54" s="1" t="s">
        <v>172</v>
      </c>
      <c r="C54" s="1">
        <v>2006</v>
      </c>
      <c r="D54" s="1" t="s">
        <v>281</v>
      </c>
      <c r="E54" s="1" t="s">
        <v>224</v>
      </c>
      <c r="F54" s="1" t="s">
        <v>216</v>
      </c>
      <c r="G54" s="1" t="s">
        <v>205</v>
      </c>
      <c r="H54" s="1">
        <v>2005</v>
      </c>
      <c r="I54" s="1">
        <v>0.22</v>
      </c>
      <c r="M54" s="1" t="s">
        <v>556</v>
      </c>
    </row>
    <row r="55" spans="1:13" x14ac:dyDescent="0.2">
      <c r="A55" s="1" t="s">
        <v>170</v>
      </c>
      <c r="B55" s="1" t="s">
        <v>172</v>
      </c>
      <c r="C55" s="1">
        <v>2006</v>
      </c>
      <c r="D55" s="1" t="s">
        <v>281</v>
      </c>
      <c r="E55" s="1" t="s">
        <v>224</v>
      </c>
      <c r="F55" s="1" t="s">
        <v>219</v>
      </c>
      <c r="G55" s="1" t="s">
        <v>219</v>
      </c>
      <c r="H55" s="1">
        <v>2005</v>
      </c>
      <c r="I55" s="1">
        <v>2.2080000000000002</v>
      </c>
    </row>
    <row r="56" spans="1:13" x14ac:dyDescent="0.2">
      <c r="A56" s="1" t="s">
        <v>170</v>
      </c>
      <c r="B56" s="1" t="s">
        <v>172</v>
      </c>
      <c r="C56" s="1">
        <v>2009</v>
      </c>
      <c r="D56" s="1" t="s">
        <v>173</v>
      </c>
      <c r="E56" s="1" t="s">
        <v>221</v>
      </c>
      <c r="F56" s="1" t="s">
        <v>223</v>
      </c>
      <c r="G56" s="1" t="s">
        <v>219</v>
      </c>
      <c r="H56" s="1">
        <v>2008</v>
      </c>
      <c r="I56" s="1">
        <v>12</v>
      </c>
    </row>
    <row r="57" spans="1:13" x14ac:dyDescent="0.2">
      <c r="A57" s="1" t="s">
        <v>170</v>
      </c>
      <c r="B57" s="1" t="s">
        <v>172</v>
      </c>
      <c r="C57" s="1">
        <v>2009</v>
      </c>
      <c r="D57" s="1" t="s">
        <v>173</v>
      </c>
      <c r="E57" s="1" t="s">
        <v>222</v>
      </c>
      <c r="F57" s="1" t="s">
        <v>223</v>
      </c>
      <c r="G57" s="1" t="s">
        <v>219</v>
      </c>
      <c r="H57" s="1">
        <v>2008</v>
      </c>
    </row>
    <row r="58" spans="1:13" x14ac:dyDescent="0.2">
      <c r="A58" s="1" t="s">
        <v>170</v>
      </c>
      <c r="B58" s="1" t="s">
        <v>172</v>
      </c>
      <c r="C58" s="1">
        <v>2009</v>
      </c>
      <c r="D58" s="1" t="s">
        <v>173</v>
      </c>
      <c r="E58" s="1" t="s">
        <v>224</v>
      </c>
      <c r="F58" s="1" t="s">
        <v>223</v>
      </c>
      <c r="G58" s="1" t="s">
        <v>215</v>
      </c>
      <c r="H58" s="1">
        <v>2008</v>
      </c>
      <c r="I58" s="1">
        <v>1.82639</v>
      </c>
      <c r="M58" s="1" t="s">
        <v>585</v>
      </c>
    </row>
    <row r="59" spans="1:13" x14ac:dyDescent="0.2">
      <c r="A59" s="1" t="s">
        <v>170</v>
      </c>
      <c r="B59" s="1" t="s">
        <v>172</v>
      </c>
      <c r="C59" s="1">
        <v>2009</v>
      </c>
      <c r="D59" s="1" t="s">
        <v>173</v>
      </c>
      <c r="E59" s="1" t="s">
        <v>224</v>
      </c>
      <c r="F59" s="1" t="s">
        <v>223</v>
      </c>
      <c r="G59" s="1" t="s">
        <v>225</v>
      </c>
      <c r="H59" s="1">
        <v>2008</v>
      </c>
      <c r="I59" s="1">
        <v>0.37157099999999998</v>
      </c>
      <c r="M59" s="1" t="s">
        <v>586</v>
      </c>
    </row>
    <row r="60" spans="1:13" x14ac:dyDescent="0.2">
      <c r="A60" s="1" t="s">
        <v>170</v>
      </c>
      <c r="B60" s="1" t="s">
        <v>172</v>
      </c>
      <c r="C60" s="1">
        <v>2009</v>
      </c>
      <c r="D60" s="1" t="s">
        <v>173</v>
      </c>
      <c r="E60" s="1" t="s">
        <v>224</v>
      </c>
      <c r="F60" s="1" t="s">
        <v>223</v>
      </c>
      <c r="G60" s="1" t="s">
        <v>228</v>
      </c>
      <c r="H60" s="1">
        <v>2008</v>
      </c>
      <c r="I60" s="1">
        <v>2.7314790000000002</v>
      </c>
      <c r="M60" s="1" t="s">
        <v>588</v>
      </c>
    </row>
    <row r="61" spans="1:13" x14ac:dyDescent="0.2">
      <c r="A61" s="1" t="s">
        <v>170</v>
      </c>
      <c r="B61" s="1" t="s">
        <v>172</v>
      </c>
      <c r="C61" s="1">
        <v>2009</v>
      </c>
      <c r="D61" s="1" t="s">
        <v>173</v>
      </c>
      <c r="E61" s="1" t="s">
        <v>224</v>
      </c>
      <c r="F61" s="1" t="s">
        <v>223</v>
      </c>
      <c r="G61" s="1" t="s">
        <v>229</v>
      </c>
      <c r="H61" s="1">
        <v>2008</v>
      </c>
      <c r="I61" s="1" t="s">
        <v>176</v>
      </c>
      <c r="M61" s="1" t="s">
        <v>587</v>
      </c>
    </row>
    <row r="62" spans="1:13" x14ac:dyDescent="0.2">
      <c r="A62" s="1" t="s">
        <v>170</v>
      </c>
      <c r="B62" s="1" t="s">
        <v>172</v>
      </c>
      <c r="C62" s="1">
        <v>2009</v>
      </c>
      <c r="D62" s="1" t="s">
        <v>173</v>
      </c>
      <c r="E62" s="1" t="s">
        <v>224</v>
      </c>
      <c r="F62" s="1" t="s">
        <v>223</v>
      </c>
      <c r="G62" s="1" t="s">
        <v>219</v>
      </c>
      <c r="H62" s="1">
        <v>2008</v>
      </c>
      <c r="I62" s="1">
        <f>SUM(I58:I61)</f>
        <v>4.9294399999999996</v>
      </c>
    </row>
    <row r="63" spans="1:13" x14ac:dyDescent="0.2">
      <c r="A63" s="1" t="s">
        <v>170</v>
      </c>
      <c r="B63" s="1" t="s">
        <v>172</v>
      </c>
      <c r="C63" s="1">
        <v>2012</v>
      </c>
      <c r="D63" s="1" t="s">
        <v>281</v>
      </c>
      <c r="E63" s="1" t="s">
        <v>221</v>
      </c>
      <c r="F63" s="1" t="s">
        <v>223</v>
      </c>
      <c r="G63" s="1" t="s">
        <v>219</v>
      </c>
      <c r="H63" s="1">
        <v>2011</v>
      </c>
      <c r="I63" s="1">
        <v>15.6</v>
      </c>
    </row>
    <row r="64" spans="1:13" x14ac:dyDescent="0.2">
      <c r="A64" s="1" t="s">
        <v>170</v>
      </c>
      <c r="B64" s="1" t="s">
        <v>172</v>
      </c>
      <c r="C64" s="1">
        <v>2012</v>
      </c>
      <c r="D64" s="1" t="s">
        <v>281</v>
      </c>
      <c r="E64" s="1" t="s">
        <v>224</v>
      </c>
      <c r="F64" s="1" t="s">
        <v>216</v>
      </c>
      <c r="G64" s="1" t="s">
        <v>239</v>
      </c>
      <c r="H64" s="1">
        <v>2011</v>
      </c>
      <c r="M64" s="1" t="s">
        <v>607</v>
      </c>
    </row>
    <row r="65" spans="1:13" x14ac:dyDescent="0.2">
      <c r="A65" s="1" t="s">
        <v>170</v>
      </c>
      <c r="B65" s="1" t="s">
        <v>172</v>
      </c>
      <c r="C65" s="1">
        <v>2012</v>
      </c>
      <c r="D65" s="1" t="s">
        <v>281</v>
      </c>
      <c r="E65" s="1" t="s">
        <v>224</v>
      </c>
      <c r="F65" s="1" t="s">
        <v>216</v>
      </c>
      <c r="G65" s="1" t="s">
        <v>240</v>
      </c>
      <c r="H65" s="1">
        <v>2011</v>
      </c>
      <c r="M65" s="1" t="s">
        <v>608</v>
      </c>
    </row>
    <row r="66" spans="1:13" x14ac:dyDescent="0.2">
      <c r="A66" s="1" t="s">
        <v>170</v>
      </c>
      <c r="B66" s="1" t="s">
        <v>172</v>
      </c>
      <c r="C66" s="1">
        <v>2012</v>
      </c>
      <c r="D66" s="1" t="s">
        <v>281</v>
      </c>
      <c r="E66" s="1" t="s">
        <v>224</v>
      </c>
      <c r="F66" s="1" t="s">
        <v>216</v>
      </c>
      <c r="G66" s="1" t="s">
        <v>238</v>
      </c>
      <c r="H66" s="1">
        <v>2011</v>
      </c>
      <c r="M66" s="1" t="s">
        <v>609</v>
      </c>
    </row>
    <row r="67" spans="1:13" x14ac:dyDescent="0.2">
      <c r="A67" s="1" t="s">
        <v>170</v>
      </c>
      <c r="B67" s="1" t="s">
        <v>172</v>
      </c>
      <c r="C67" s="1">
        <v>2012</v>
      </c>
      <c r="D67" s="1" t="s">
        <v>281</v>
      </c>
      <c r="E67" s="1" t="s">
        <v>224</v>
      </c>
      <c r="F67" s="1" t="s">
        <v>216</v>
      </c>
      <c r="G67" s="1" t="s">
        <v>205</v>
      </c>
      <c r="H67" s="1">
        <v>2011</v>
      </c>
      <c r="M67" s="1" t="s">
        <v>610</v>
      </c>
    </row>
    <row r="68" spans="1:13" x14ac:dyDescent="0.2">
      <c r="A68" s="1" t="s">
        <v>170</v>
      </c>
      <c r="B68" s="1" t="s">
        <v>172</v>
      </c>
      <c r="C68" s="1">
        <v>2012</v>
      </c>
      <c r="D68" s="1" t="s">
        <v>281</v>
      </c>
      <c r="E68" s="1" t="s">
        <v>224</v>
      </c>
      <c r="F68" s="1" t="s">
        <v>219</v>
      </c>
      <c r="G68" s="1" t="s">
        <v>219</v>
      </c>
      <c r="H68" s="1">
        <v>2011</v>
      </c>
    </row>
    <row r="69" spans="1:13" x14ac:dyDescent="0.2">
      <c r="A69" s="1" t="s">
        <v>170</v>
      </c>
      <c r="B69" s="1" t="s">
        <v>172</v>
      </c>
      <c r="C69" s="1">
        <v>2012</v>
      </c>
      <c r="D69" s="1" t="s">
        <v>173</v>
      </c>
      <c r="E69" s="1" t="s">
        <v>221</v>
      </c>
      <c r="F69" s="1" t="s">
        <v>223</v>
      </c>
      <c r="G69" s="1" t="s">
        <v>219</v>
      </c>
      <c r="H69" s="1">
        <v>2011</v>
      </c>
      <c r="I69" s="1">
        <v>12</v>
      </c>
    </row>
    <row r="70" spans="1:13" x14ac:dyDescent="0.2">
      <c r="A70" s="1" t="s">
        <v>170</v>
      </c>
      <c r="B70" s="1" t="s">
        <v>172</v>
      </c>
      <c r="C70" s="1">
        <v>2012</v>
      </c>
      <c r="D70" s="1" t="s">
        <v>173</v>
      </c>
      <c r="E70" s="1" t="s">
        <v>222</v>
      </c>
      <c r="F70" s="1" t="s">
        <v>223</v>
      </c>
      <c r="G70" s="1" t="s">
        <v>219</v>
      </c>
      <c r="H70" s="1">
        <v>2011</v>
      </c>
    </row>
    <row r="71" spans="1:13" x14ac:dyDescent="0.2">
      <c r="A71" s="1" t="s">
        <v>170</v>
      </c>
      <c r="B71" s="1" t="s">
        <v>172</v>
      </c>
      <c r="C71" s="1">
        <v>2012</v>
      </c>
      <c r="D71" s="1" t="s">
        <v>173</v>
      </c>
      <c r="E71" s="1" t="s">
        <v>224</v>
      </c>
      <c r="F71" s="1" t="s">
        <v>223</v>
      </c>
      <c r="G71" s="1" t="s">
        <v>215</v>
      </c>
      <c r="H71" s="1">
        <v>2011</v>
      </c>
      <c r="I71" s="1">
        <v>1.6693800000000001</v>
      </c>
      <c r="M71" s="1" t="s">
        <v>672</v>
      </c>
    </row>
    <row r="72" spans="1:13" x14ac:dyDescent="0.2">
      <c r="A72" s="1" t="s">
        <v>170</v>
      </c>
      <c r="B72" s="1" t="s">
        <v>172</v>
      </c>
      <c r="C72" s="1">
        <v>2012</v>
      </c>
      <c r="D72" s="1" t="s">
        <v>173</v>
      </c>
      <c r="E72" s="1" t="s">
        <v>224</v>
      </c>
      <c r="F72" s="1" t="s">
        <v>223</v>
      </c>
      <c r="G72" s="1" t="s">
        <v>225</v>
      </c>
      <c r="H72" s="1">
        <v>2011</v>
      </c>
      <c r="I72" s="1">
        <v>0.40787299999999999</v>
      </c>
      <c r="M72" s="1" t="s">
        <v>673</v>
      </c>
    </row>
    <row r="73" spans="1:13" x14ac:dyDescent="0.2">
      <c r="A73" s="1" t="s">
        <v>170</v>
      </c>
      <c r="B73" s="1" t="s">
        <v>172</v>
      </c>
      <c r="C73" s="1">
        <v>2012</v>
      </c>
      <c r="D73" s="1" t="s">
        <v>173</v>
      </c>
      <c r="E73" s="1" t="s">
        <v>224</v>
      </c>
      <c r="F73" s="1" t="s">
        <v>223</v>
      </c>
      <c r="G73" s="1" t="s">
        <v>228</v>
      </c>
      <c r="H73" s="1">
        <v>2011</v>
      </c>
      <c r="I73" s="1">
        <v>0.103562</v>
      </c>
      <c r="M73" s="1" t="s">
        <v>674</v>
      </c>
    </row>
    <row r="74" spans="1:13" x14ac:dyDescent="0.2">
      <c r="A74" s="1" t="s">
        <v>170</v>
      </c>
      <c r="B74" s="1" t="s">
        <v>172</v>
      </c>
      <c r="C74" s="1">
        <v>2012</v>
      </c>
      <c r="D74" s="1" t="s">
        <v>173</v>
      </c>
      <c r="E74" s="1" t="s">
        <v>224</v>
      </c>
      <c r="F74" s="1" t="s">
        <v>223</v>
      </c>
      <c r="G74" s="1" t="s">
        <v>229</v>
      </c>
      <c r="H74" s="1">
        <v>2011</v>
      </c>
      <c r="I74" s="1">
        <v>0.103562</v>
      </c>
      <c r="M74" s="1" t="s">
        <v>674</v>
      </c>
    </row>
    <row r="75" spans="1:13" x14ac:dyDescent="0.2">
      <c r="A75" s="1" t="s">
        <v>170</v>
      </c>
      <c r="B75" s="1" t="s">
        <v>172</v>
      </c>
      <c r="C75" s="1">
        <v>2012</v>
      </c>
      <c r="D75" s="1" t="s">
        <v>173</v>
      </c>
      <c r="E75" s="1" t="s">
        <v>224</v>
      </c>
      <c r="F75" s="1" t="s">
        <v>223</v>
      </c>
      <c r="G75" s="1" t="s">
        <v>219</v>
      </c>
      <c r="H75" s="1">
        <v>2011</v>
      </c>
      <c r="I75" s="1">
        <f>SUM(I71:I74)</f>
        <v>2.2843770000000005</v>
      </c>
    </row>
    <row r="76" spans="1:13" x14ac:dyDescent="0.2">
      <c r="A76" s="1" t="s">
        <v>170</v>
      </c>
      <c r="B76" s="1" t="s">
        <v>172</v>
      </c>
      <c r="C76" s="1">
        <v>2016</v>
      </c>
      <c r="D76" s="1" t="s">
        <v>281</v>
      </c>
      <c r="E76" s="1" t="s">
        <v>221</v>
      </c>
      <c r="F76" s="1" t="s">
        <v>223</v>
      </c>
      <c r="G76" s="1" t="s">
        <v>219</v>
      </c>
      <c r="H76" s="1">
        <v>2011</v>
      </c>
      <c r="I76" s="1">
        <v>15.6</v>
      </c>
    </row>
    <row r="77" spans="1:13" x14ac:dyDescent="0.2">
      <c r="A77" s="1" t="s">
        <v>170</v>
      </c>
      <c r="B77" s="1" t="s">
        <v>172</v>
      </c>
      <c r="C77" s="1">
        <v>2016</v>
      </c>
      <c r="D77" s="1" t="s">
        <v>281</v>
      </c>
      <c r="E77" s="1" t="s">
        <v>224</v>
      </c>
      <c r="F77" s="1" t="s">
        <v>216</v>
      </c>
      <c r="G77" s="1" t="s">
        <v>239</v>
      </c>
      <c r="H77" s="1">
        <v>2011</v>
      </c>
      <c r="M77" s="1" t="s">
        <v>684</v>
      </c>
    </row>
    <row r="78" spans="1:13" x14ac:dyDescent="0.2">
      <c r="A78" s="1" t="s">
        <v>170</v>
      </c>
      <c r="B78" s="1" t="s">
        <v>172</v>
      </c>
      <c r="C78" s="1">
        <v>2016</v>
      </c>
      <c r="D78" s="1" t="s">
        <v>281</v>
      </c>
      <c r="E78" s="1" t="s">
        <v>224</v>
      </c>
      <c r="F78" s="1" t="s">
        <v>216</v>
      </c>
      <c r="G78" s="1" t="s">
        <v>240</v>
      </c>
      <c r="H78" s="1">
        <v>2011</v>
      </c>
      <c r="M78" s="1" t="s">
        <v>683</v>
      </c>
    </row>
    <row r="79" spans="1:13" x14ac:dyDescent="0.2">
      <c r="A79" s="1" t="s">
        <v>170</v>
      </c>
      <c r="B79" s="1" t="s">
        <v>172</v>
      </c>
      <c r="C79" s="1">
        <v>2016</v>
      </c>
      <c r="D79" s="1" t="s">
        <v>281</v>
      </c>
      <c r="E79" s="1" t="s">
        <v>224</v>
      </c>
      <c r="F79" s="1" t="s">
        <v>216</v>
      </c>
      <c r="G79" s="1" t="s">
        <v>238</v>
      </c>
      <c r="H79" s="1">
        <v>2011</v>
      </c>
      <c r="M79" s="1" t="s">
        <v>685</v>
      </c>
    </row>
    <row r="80" spans="1:13" x14ac:dyDescent="0.2">
      <c r="A80" s="1" t="s">
        <v>170</v>
      </c>
      <c r="B80" s="1" t="s">
        <v>172</v>
      </c>
      <c r="C80" s="1">
        <v>2016</v>
      </c>
      <c r="D80" s="1" t="s">
        <v>281</v>
      </c>
      <c r="E80" s="1" t="s">
        <v>224</v>
      </c>
      <c r="F80" s="1" t="s">
        <v>216</v>
      </c>
      <c r="G80" s="1" t="s">
        <v>205</v>
      </c>
      <c r="H80" s="1">
        <v>2011</v>
      </c>
      <c r="M80" s="1" t="s">
        <v>686</v>
      </c>
    </row>
    <row r="81" spans="1:13" x14ac:dyDescent="0.2">
      <c r="A81" s="1" t="s">
        <v>170</v>
      </c>
      <c r="B81" s="1" t="s">
        <v>172</v>
      </c>
      <c r="C81" s="1">
        <v>2016</v>
      </c>
      <c r="D81" s="1" t="s">
        <v>281</v>
      </c>
      <c r="E81" s="1" t="s">
        <v>224</v>
      </c>
      <c r="F81" s="1" t="s">
        <v>219</v>
      </c>
      <c r="G81" s="1" t="s">
        <v>219</v>
      </c>
      <c r="H81" s="1">
        <v>2011</v>
      </c>
      <c r="M81" s="1" t="s">
        <v>710</v>
      </c>
    </row>
    <row r="82" spans="1:13" x14ac:dyDescent="0.2">
      <c r="A82" s="1" t="s">
        <v>170</v>
      </c>
      <c r="B82" s="1" t="s">
        <v>172</v>
      </c>
      <c r="C82" s="1">
        <v>2012</v>
      </c>
      <c r="D82" s="1" t="s">
        <v>173</v>
      </c>
      <c r="E82" s="1" t="s">
        <v>221</v>
      </c>
      <c r="F82" s="1" t="s">
        <v>223</v>
      </c>
      <c r="G82" s="1" t="s">
        <v>219</v>
      </c>
      <c r="H82" s="1">
        <v>2011</v>
      </c>
      <c r="I82" s="1">
        <v>12</v>
      </c>
    </row>
    <row r="83" spans="1:13" x14ac:dyDescent="0.2">
      <c r="A83" s="1" t="s">
        <v>170</v>
      </c>
      <c r="B83" s="1" t="s">
        <v>172</v>
      </c>
      <c r="C83" s="1">
        <v>2012</v>
      </c>
      <c r="D83" s="1" t="s">
        <v>173</v>
      </c>
      <c r="E83" s="1" t="s">
        <v>222</v>
      </c>
      <c r="F83" s="1" t="s">
        <v>223</v>
      </c>
      <c r="G83" s="1" t="s">
        <v>219</v>
      </c>
      <c r="H83" s="1">
        <v>2011</v>
      </c>
    </row>
    <row r="84" spans="1:13" x14ac:dyDescent="0.2">
      <c r="A84" s="1" t="s">
        <v>170</v>
      </c>
      <c r="B84" s="1" t="s">
        <v>172</v>
      </c>
      <c r="C84" s="1">
        <v>2012</v>
      </c>
      <c r="D84" s="1" t="s">
        <v>173</v>
      </c>
      <c r="E84" s="1" t="s">
        <v>224</v>
      </c>
      <c r="F84" s="1" t="s">
        <v>223</v>
      </c>
      <c r="G84" s="1" t="s">
        <v>215</v>
      </c>
      <c r="H84" s="1">
        <v>2011</v>
      </c>
      <c r="I84" s="1">
        <v>1.7</v>
      </c>
      <c r="M84" s="1" t="s">
        <v>712</v>
      </c>
    </row>
    <row r="85" spans="1:13" x14ac:dyDescent="0.2">
      <c r="A85" s="1" t="s">
        <v>170</v>
      </c>
      <c r="B85" s="1" t="s">
        <v>172</v>
      </c>
      <c r="C85" s="1">
        <v>2012</v>
      </c>
      <c r="D85" s="1" t="s">
        <v>173</v>
      </c>
      <c r="E85" s="1" t="s">
        <v>224</v>
      </c>
      <c r="F85" s="1" t="s">
        <v>223</v>
      </c>
      <c r="G85" s="1" t="s">
        <v>225</v>
      </c>
      <c r="H85" s="1">
        <v>2011</v>
      </c>
      <c r="I85" s="1">
        <v>0.4</v>
      </c>
      <c r="M85" s="1" t="s">
        <v>713</v>
      </c>
    </row>
    <row r="86" spans="1:13" x14ac:dyDescent="0.2">
      <c r="A86" s="1" t="s">
        <v>170</v>
      </c>
      <c r="B86" s="1" t="s">
        <v>172</v>
      </c>
      <c r="C86" s="1">
        <v>2012</v>
      </c>
      <c r="D86" s="1" t="s">
        <v>173</v>
      </c>
      <c r="E86" s="1" t="s">
        <v>224</v>
      </c>
      <c r="F86" s="1" t="s">
        <v>223</v>
      </c>
      <c r="G86" s="1" t="s">
        <v>228</v>
      </c>
      <c r="H86" s="1">
        <v>2011</v>
      </c>
      <c r="I86" s="1">
        <v>0.1</v>
      </c>
      <c r="M86" s="1" t="s">
        <v>674</v>
      </c>
    </row>
    <row r="87" spans="1:13" x14ac:dyDescent="0.2">
      <c r="A87" s="1" t="s">
        <v>170</v>
      </c>
      <c r="B87" s="1" t="s">
        <v>172</v>
      </c>
      <c r="C87" s="1">
        <v>2012</v>
      </c>
      <c r="D87" s="1" t="s">
        <v>173</v>
      </c>
      <c r="E87" s="1" t="s">
        <v>224</v>
      </c>
      <c r="F87" s="1" t="s">
        <v>223</v>
      </c>
      <c r="G87" s="1" t="s">
        <v>229</v>
      </c>
      <c r="H87" s="1">
        <v>2011</v>
      </c>
      <c r="I87" s="1">
        <v>0.1</v>
      </c>
      <c r="M87" s="1" t="s">
        <v>674</v>
      </c>
    </row>
    <row r="88" spans="1:13" x14ac:dyDescent="0.2">
      <c r="A88" s="1" t="s">
        <v>170</v>
      </c>
      <c r="B88" s="1" t="s">
        <v>172</v>
      </c>
      <c r="C88" s="1">
        <v>2012</v>
      </c>
      <c r="D88" s="1" t="s">
        <v>173</v>
      </c>
      <c r="E88" s="1" t="s">
        <v>224</v>
      </c>
      <c r="F88" s="1" t="s">
        <v>223</v>
      </c>
      <c r="G88" s="1" t="s">
        <v>219</v>
      </c>
      <c r="H88" s="1">
        <v>2011</v>
      </c>
      <c r="I88" s="1">
        <f>SUM(I84:I87)</f>
        <v>2.3000000000000003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
  <sheetViews>
    <sheetView workbookViewId="0">
      <selection sqref="A1:H1"/>
    </sheetView>
  </sheetViews>
  <sheetFormatPr baseColWidth="10" defaultColWidth="8.83203125" defaultRowHeight="15" x14ac:dyDescent="0.2"/>
  <cols>
    <col min="1" max="4" width="8.83203125" style="1"/>
    <col min="5" max="5" width="11.83203125" style="1" bestFit="1" customWidth="1"/>
    <col min="6" max="6" width="14.83203125" style="1" bestFit="1" customWidth="1"/>
    <col min="7" max="16384" width="8.83203125" style="1"/>
  </cols>
  <sheetData>
    <row r="1" spans="1:8" x14ac:dyDescent="0.2">
      <c r="A1" s="2" t="s">
        <v>0</v>
      </c>
      <c r="B1" s="2" t="s">
        <v>27</v>
      </c>
      <c r="C1" s="2" t="s">
        <v>2</v>
      </c>
      <c r="D1" s="2" t="s">
        <v>99</v>
      </c>
      <c r="E1" s="2" t="s">
        <v>129</v>
      </c>
      <c r="F1" s="2" t="s">
        <v>130</v>
      </c>
      <c r="G1" s="2" t="s">
        <v>131</v>
      </c>
      <c r="H1" s="2" t="s">
        <v>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18"/>
  <sheetViews>
    <sheetView topLeftCell="A80" workbookViewId="0">
      <selection activeCell="L103" sqref="L103:L118"/>
    </sheetView>
  </sheetViews>
  <sheetFormatPr baseColWidth="10" defaultColWidth="8.83203125" defaultRowHeight="15" x14ac:dyDescent="0.2"/>
  <cols>
    <col min="1" max="4" width="8.83203125" style="1"/>
    <col min="5" max="5" width="20.1640625" style="1" customWidth="1"/>
    <col min="6" max="7" width="8.83203125" style="1"/>
    <col min="8" max="8" width="10" style="1" bestFit="1" customWidth="1"/>
    <col min="9" max="9" width="8.83203125" style="1"/>
    <col min="10" max="10" width="13.33203125" style="1" customWidth="1"/>
    <col min="11" max="16384" width="8.83203125" style="1"/>
  </cols>
  <sheetData>
    <row r="1" spans="1:13" x14ac:dyDescent="0.2">
      <c r="A1" s="2" t="s">
        <v>0</v>
      </c>
      <c r="B1" s="2" t="s">
        <v>27</v>
      </c>
      <c r="C1" s="2" t="s">
        <v>2</v>
      </c>
      <c r="D1" s="2" t="s">
        <v>24</v>
      </c>
      <c r="E1" s="2" t="s">
        <v>132</v>
      </c>
      <c r="F1" s="2" t="s">
        <v>98</v>
      </c>
      <c r="G1" s="2" t="s">
        <v>99</v>
      </c>
      <c r="H1" s="5" t="s">
        <v>133</v>
      </c>
      <c r="I1" s="4" t="s">
        <v>134</v>
      </c>
      <c r="J1" s="4" t="s">
        <v>31</v>
      </c>
      <c r="K1" s="2" t="s">
        <v>135</v>
      </c>
      <c r="L1" s="2" t="s">
        <v>136</v>
      </c>
      <c r="M1" s="4" t="s">
        <v>85</v>
      </c>
    </row>
    <row r="2" spans="1:13" x14ac:dyDescent="0.2">
      <c r="A2" s="1" t="s">
        <v>170</v>
      </c>
      <c r="B2" s="1" t="s">
        <v>172</v>
      </c>
      <c r="C2" s="1">
        <v>1990</v>
      </c>
      <c r="D2" s="1" t="s">
        <v>173</v>
      </c>
      <c r="E2" s="1" t="s">
        <v>292</v>
      </c>
      <c r="F2" s="1" t="s">
        <v>295</v>
      </c>
      <c r="G2" s="1">
        <v>1990</v>
      </c>
      <c r="H2" s="1">
        <f>INT(1762*748.05)</f>
        <v>1318064</v>
      </c>
      <c r="I2" s="1" t="s">
        <v>176</v>
      </c>
      <c r="J2" s="1" t="s">
        <v>315</v>
      </c>
      <c r="K2" s="1">
        <f>ROUND((H2/1000000/365)/3.13*100,2)</f>
        <v>0.12</v>
      </c>
      <c r="L2" s="1" t="s">
        <v>176</v>
      </c>
      <c r="M2" s="1" t="s">
        <v>306</v>
      </c>
    </row>
    <row r="3" spans="1:13" x14ac:dyDescent="0.2">
      <c r="A3" s="1" t="s">
        <v>170</v>
      </c>
      <c r="B3" s="1" t="s">
        <v>172</v>
      </c>
      <c r="C3" s="1">
        <v>1990</v>
      </c>
      <c r="D3" s="1" t="s">
        <v>173</v>
      </c>
      <c r="E3" s="1" t="s">
        <v>293</v>
      </c>
      <c r="F3" s="1" t="s">
        <v>295</v>
      </c>
      <c r="G3" s="1">
        <v>1990</v>
      </c>
      <c r="H3" s="1">
        <f>INT(13435*748.05)</f>
        <v>10050051</v>
      </c>
      <c r="I3" s="1" t="s">
        <v>176</v>
      </c>
      <c r="J3" s="1" t="s">
        <v>315</v>
      </c>
      <c r="K3" s="1">
        <f t="shared" ref="K3:K16" si="0">ROUND((H3/1000000/365)/3.13*100,2)</f>
        <v>0.88</v>
      </c>
      <c r="L3" s="1" t="s">
        <v>176</v>
      </c>
      <c r="M3" s="1" t="s">
        <v>306</v>
      </c>
    </row>
    <row r="4" spans="1:13" x14ac:dyDescent="0.2">
      <c r="A4" s="1" t="s">
        <v>170</v>
      </c>
      <c r="B4" s="1" t="s">
        <v>172</v>
      </c>
      <c r="C4" s="1">
        <v>1990</v>
      </c>
      <c r="D4" s="1" t="s">
        <v>173</v>
      </c>
      <c r="E4" s="1" t="s">
        <v>294</v>
      </c>
      <c r="F4" s="1" t="s">
        <v>295</v>
      </c>
      <c r="G4" s="1">
        <v>1990</v>
      </c>
      <c r="H4" s="1">
        <f>INT(946*748.05)</f>
        <v>707655</v>
      </c>
      <c r="I4" s="1" t="s">
        <v>176</v>
      </c>
      <c r="J4" s="1" t="s">
        <v>315</v>
      </c>
      <c r="K4" s="1">
        <f t="shared" si="0"/>
        <v>0.06</v>
      </c>
      <c r="L4" s="1" t="s">
        <v>176</v>
      </c>
      <c r="M4" s="1" t="s">
        <v>306</v>
      </c>
    </row>
    <row r="5" spans="1:13" x14ac:dyDescent="0.2">
      <c r="A5" s="1" t="s">
        <v>170</v>
      </c>
      <c r="B5" s="1" t="s">
        <v>172</v>
      </c>
      <c r="C5" s="1">
        <v>1990</v>
      </c>
      <c r="D5" s="1" t="s">
        <v>173</v>
      </c>
      <c r="E5" s="1" t="s">
        <v>308</v>
      </c>
      <c r="F5" s="1" t="s">
        <v>295</v>
      </c>
      <c r="G5" s="1">
        <v>1990</v>
      </c>
      <c r="H5" s="1">
        <f>INT(30092*748.05)</f>
        <v>22510320</v>
      </c>
      <c r="I5" s="1" t="s">
        <v>176</v>
      </c>
      <c r="J5" s="1" t="s">
        <v>315</v>
      </c>
      <c r="K5" s="1">
        <f t="shared" si="0"/>
        <v>1.97</v>
      </c>
      <c r="L5" s="1" t="s">
        <v>176</v>
      </c>
      <c r="M5" s="1" t="s">
        <v>306</v>
      </c>
    </row>
    <row r="6" spans="1:13" x14ac:dyDescent="0.2">
      <c r="A6" s="1" t="s">
        <v>170</v>
      </c>
      <c r="B6" s="1" t="s">
        <v>172</v>
      </c>
      <c r="C6" s="1">
        <v>1990</v>
      </c>
      <c r="D6" s="1" t="s">
        <v>173</v>
      </c>
      <c r="E6" s="1" t="s">
        <v>296</v>
      </c>
      <c r="F6" s="1" t="s">
        <v>309</v>
      </c>
      <c r="G6" s="1">
        <v>1990</v>
      </c>
      <c r="H6" s="1">
        <f>INT(27472*748.05)</f>
        <v>20550429</v>
      </c>
      <c r="I6" s="1" t="s">
        <v>176</v>
      </c>
      <c r="J6" s="1" t="s">
        <v>315</v>
      </c>
      <c r="K6" s="1">
        <f t="shared" si="0"/>
        <v>1.8</v>
      </c>
      <c r="L6" s="1" t="s">
        <v>176</v>
      </c>
      <c r="M6" s="1" t="s">
        <v>306</v>
      </c>
    </row>
    <row r="7" spans="1:13" x14ac:dyDescent="0.2">
      <c r="A7" s="1" t="s">
        <v>170</v>
      </c>
      <c r="B7" s="1" t="s">
        <v>172</v>
      </c>
      <c r="C7" s="1">
        <v>1990</v>
      </c>
      <c r="D7" s="1" t="s">
        <v>173</v>
      </c>
      <c r="E7" s="1" t="s">
        <v>310</v>
      </c>
      <c r="F7" s="1" t="s">
        <v>295</v>
      </c>
      <c r="G7" s="1">
        <v>1990</v>
      </c>
      <c r="H7" s="1">
        <f>INT(6132*748.05)</f>
        <v>4587042</v>
      </c>
      <c r="I7" s="1" t="s">
        <v>176</v>
      </c>
      <c r="J7" s="1" t="s">
        <v>315</v>
      </c>
      <c r="K7" s="1">
        <f t="shared" si="0"/>
        <v>0.4</v>
      </c>
      <c r="L7" s="1" t="s">
        <v>176</v>
      </c>
      <c r="M7" s="32" t="s">
        <v>311</v>
      </c>
    </row>
    <row r="8" spans="1:13" x14ac:dyDescent="0.2">
      <c r="A8" s="1" t="s">
        <v>170</v>
      </c>
      <c r="B8" s="1" t="s">
        <v>172</v>
      </c>
      <c r="C8" s="1">
        <v>1990</v>
      </c>
      <c r="D8" s="1" t="s">
        <v>173</v>
      </c>
      <c r="E8" s="1" t="s">
        <v>297</v>
      </c>
      <c r="F8" s="1" t="s">
        <v>298</v>
      </c>
      <c r="G8" s="1">
        <v>1990</v>
      </c>
      <c r="H8" s="1">
        <f>INT(48933*748.05)</f>
        <v>36604330</v>
      </c>
      <c r="I8" s="1" t="s">
        <v>176</v>
      </c>
      <c r="J8" s="1" t="s">
        <v>315</v>
      </c>
      <c r="K8" s="1">
        <f t="shared" si="0"/>
        <v>3.2</v>
      </c>
      <c r="L8" s="1" t="s">
        <v>176</v>
      </c>
      <c r="M8" s="1" t="s">
        <v>306</v>
      </c>
    </row>
    <row r="9" spans="1:13" x14ac:dyDescent="0.2">
      <c r="A9" s="1" t="s">
        <v>170</v>
      </c>
      <c r="B9" s="1" t="s">
        <v>172</v>
      </c>
      <c r="C9" s="1">
        <v>1990</v>
      </c>
      <c r="D9" s="1" t="s">
        <v>173</v>
      </c>
      <c r="E9" s="1" t="s">
        <v>299</v>
      </c>
      <c r="F9" s="1" t="s">
        <v>309</v>
      </c>
      <c r="G9" s="1">
        <v>1990</v>
      </c>
      <c r="H9" s="1">
        <f>INT(4233*748.05)</f>
        <v>3166495</v>
      </c>
      <c r="I9" s="1" t="s">
        <v>176</v>
      </c>
      <c r="J9" s="1" t="s">
        <v>315</v>
      </c>
      <c r="K9" s="1">
        <f t="shared" si="0"/>
        <v>0.28000000000000003</v>
      </c>
      <c r="L9" s="1" t="s">
        <v>176</v>
      </c>
      <c r="M9" s="1" t="s">
        <v>306</v>
      </c>
    </row>
    <row r="10" spans="1:13" x14ac:dyDescent="0.2">
      <c r="A10" s="1" t="s">
        <v>170</v>
      </c>
      <c r="B10" s="1" t="s">
        <v>172</v>
      </c>
      <c r="C10" s="1">
        <v>1990</v>
      </c>
      <c r="D10" s="1" t="s">
        <v>173</v>
      </c>
      <c r="E10" s="1" t="s">
        <v>300</v>
      </c>
      <c r="F10" s="1" t="s">
        <v>295</v>
      </c>
      <c r="G10" s="1">
        <v>1990</v>
      </c>
      <c r="H10" s="1">
        <f>INT(3588*748.05)</f>
        <v>2684003</v>
      </c>
      <c r="I10" s="1" t="s">
        <v>176</v>
      </c>
      <c r="J10" s="1" t="s">
        <v>315</v>
      </c>
      <c r="K10" s="1">
        <f t="shared" si="0"/>
        <v>0.23</v>
      </c>
      <c r="L10" s="1" t="s">
        <v>176</v>
      </c>
      <c r="M10" s="1" t="s">
        <v>306</v>
      </c>
    </row>
    <row r="11" spans="1:13" x14ac:dyDescent="0.2">
      <c r="A11" s="1" t="s">
        <v>170</v>
      </c>
      <c r="B11" s="1" t="s">
        <v>172</v>
      </c>
      <c r="C11" s="1">
        <v>1990</v>
      </c>
      <c r="D11" s="1" t="s">
        <v>173</v>
      </c>
      <c r="E11" s="1" t="s">
        <v>301</v>
      </c>
      <c r="F11" s="1" t="s">
        <v>312</v>
      </c>
      <c r="G11" s="1">
        <v>1990</v>
      </c>
      <c r="H11" s="1">
        <f>INT(639*748.05)</f>
        <v>478003</v>
      </c>
      <c r="I11" s="1" t="s">
        <v>176</v>
      </c>
      <c r="J11" s="1" t="s">
        <v>315</v>
      </c>
      <c r="K11" s="1">
        <f t="shared" si="0"/>
        <v>0.04</v>
      </c>
      <c r="L11" s="1" t="s">
        <v>176</v>
      </c>
      <c r="M11" s="1" t="s">
        <v>306</v>
      </c>
    </row>
    <row r="12" spans="1:13" x14ac:dyDescent="0.2">
      <c r="A12" s="1" t="s">
        <v>170</v>
      </c>
      <c r="B12" s="1" t="s">
        <v>172</v>
      </c>
      <c r="C12" s="1">
        <v>1990</v>
      </c>
      <c r="D12" s="1" t="s">
        <v>173</v>
      </c>
      <c r="E12" s="1" t="s">
        <v>302</v>
      </c>
      <c r="F12" s="1" t="s">
        <v>295</v>
      </c>
      <c r="G12" s="1">
        <v>1990</v>
      </c>
      <c r="H12" s="1">
        <f>INT(15351*748.05)</f>
        <v>11483315</v>
      </c>
      <c r="I12" s="1" t="s">
        <v>176</v>
      </c>
      <c r="J12" s="1" t="s">
        <v>315</v>
      </c>
      <c r="K12" s="1">
        <f t="shared" si="0"/>
        <v>1.01</v>
      </c>
      <c r="L12" s="1" t="s">
        <v>176</v>
      </c>
      <c r="M12" s="1" t="s">
        <v>307</v>
      </c>
    </row>
    <row r="13" spans="1:13" x14ac:dyDescent="0.2">
      <c r="A13" s="1" t="s">
        <v>170</v>
      </c>
      <c r="B13" s="1" t="s">
        <v>172</v>
      </c>
      <c r="C13" s="1">
        <v>1990</v>
      </c>
      <c r="D13" s="1" t="s">
        <v>173</v>
      </c>
      <c r="E13" s="1" t="s">
        <v>303</v>
      </c>
      <c r="F13" s="1" t="s">
        <v>295</v>
      </c>
      <c r="G13" s="1">
        <v>1990</v>
      </c>
      <c r="H13" s="1">
        <f>INT(6737*748.05)</f>
        <v>5039612</v>
      </c>
      <c r="I13" s="1" t="s">
        <v>176</v>
      </c>
      <c r="J13" s="1" t="s">
        <v>315</v>
      </c>
      <c r="K13" s="1">
        <f t="shared" si="0"/>
        <v>0.44</v>
      </c>
      <c r="L13" s="1" t="s">
        <v>176</v>
      </c>
      <c r="M13" s="1" t="s">
        <v>307</v>
      </c>
    </row>
    <row r="14" spans="1:13" x14ac:dyDescent="0.2">
      <c r="A14" s="1" t="s">
        <v>170</v>
      </c>
      <c r="B14" s="1" t="s">
        <v>172</v>
      </c>
      <c r="C14" s="1">
        <v>1990</v>
      </c>
      <c r="D14" s="1" t="s">
        <v>173</v>
      </c>
      <c r="E14" s="1" t="s">
        <v>304</v>
      </c>
      <c r="F14" s="1" t="s">
        <v>313</v>
      </c>
      <c r="G14" s="1">
        <v>1990</v>
      </c>
      <c r="H14" s="1">
        <f>INT(42317*748.05)</f>
        <v>31655231</v>
      </c>
      <c r="I14" s="1" t="s">
        <v>176</v>
      </c>
      <c r="J14" s="1" t="s">
        <v>315</v>
      </c>
      <c r="K14" s="1">
        <f t="shared" si="0"/>
        <v>2.77</v>
      </c>
      <c r="L14" s="1" t="s">
        <v>176</v>
      </c>
      <c r="M14" s="1" t="s">
        <v>314</v>
      </c>
    </row>
    <row r="15" spans="1:13" x14ac:dyDescent="0.2">
      <c r="A15" s="1" t="s">
        <v>170</v>
      </c>
      <c r="B15" s="1" t="s">
        <v>172</v>
      </c>
      <c r="C15" s="1">
        <v>1990</v>
      </c>
      <c r="D15" s="1" t="s">
        <v>173</v>
      </c>
      <c r="E15" s="1" t="s">
        <v>305</v>
      </c>
      <c r="F15" s="1" t="s">
        <v>295</v>
      </c>
      <c r="G15" s="1">
        <v>1990</v>
      </c>
      <c r="H15" s="1">
        <f>INT(34937*748.05)</f>
        <v>26134622</v>
      </c>
      <c r="I15" s="1" t="s">
        <v>176</v>
      </c>
      <c r="J15" s="1" t="s">
        <v>315</v>
      </c>
      <c r="K15" s="1">
        <f t="shared" si="0"/>
        <v>2.29</v>
      </c>
      <c r="L15" s="1" t="s">
        <v>176</v>
      </c>
      <c r="M15" s="1" t="s">
        <v>307</v>
      </c>
    </row>
    <row r="16" spans="1:13" x14ac:dyDescent="0.2">
      <c r="A16" s="1" t="s">
        <v>170</v>
      </c>
      <c r="B16" s="1" t="s">
        <v>172</v>
      </c>
      <c r="C16" s="1">
        <v>1990</v>
      </c>
      <c r="D16" s="1" t="s">
        <v>173</v>
      </c>
      <c r="E16" s="1" t="s">
        <v>219</v>
      </c>
      <c r="F16" s="1" t="s">
        <v>219</v>
      </c>
      <c r="G16" s="1">
        <v>1990</v>
      </c>
      <c r="H16" s="1">
        <f>SUM(H2:H15)</f>
        <v>176969172</v>
      </c>
      <c r="I16" s="1" t="s">
        <v>176</v>
      </c>
      <c r="J16" s="1" t="s">
        <v>315</v>
      </c>
      <c r="K16" s="1">
        <f t="shared" si="0"/>
        <v>15.49</v>
      </c>
      <c r="L16" s="1" t="s">
        <v>176</v>
      </c>
    </row>
    <row r="17" spans="1:13" x14ac:dyDescent="0.2">
      <c r="A17" s="1" t="s">
        <v>170</v>
      </c>
      <c r="B17" s="1" t="s">
        <v>172</v>
      </c>
      <c r="C17" s="1">
        <v>2005</v>
      </c>
      <c r="D17" s="1" t="s">
        <v>281</v>
      </c>
      <c r="E17" s="1" t="s">
        <v>304</v>
      </c>
      <c r="F17" s="1" t="s">
        <v>313</v>
      </c>
      <c r="G17" s="1">
        <v>2004</v>
      </c>
      <c r="H17" s="23">
        <f>450000*365</f>
        <v>164250000</v>
      </c>
      <c r="I17" s="1">
        <v>99804</v>
      </c>
      <c r="J17" s="1" t="s">
        <v>524</v>
      </c>
      <c r="K17" s="23" t="s">
        <v>176</v>
      </c>
      <c r="L17" s="1">
        <v>1.3660000000000001</v>
      </c>
      <c r="M17" s="1" t="s">
        <v>525</v>
      </c>
    </row>
    <row r="18" spans="1:13" x14ac:dyDescent="0.2">
      <c r="A18" s="1" t="s">
        <v>170</v>
      </c>
      <c r="B18" s="1" t="s">
        <v>172</v>
      </c>
      <c r="C18" s="1">
        <v>2005</v>
      </c>
      <c r="D18" s="1" t="s">
        <v>281</v>
      </c>
      <c r="E18" s="1" t="s">
        <v>516</v>
      </c>
      <c r="F18" s="1" t="s">
        <v>523</v>
      </c>
      <c r="G18" s="1">
        <v>2004</v>
      </c>
      <c r="H18" s="23" t="s">
        <v>176</v>
      </c>
      <c r="I18" s="1">
        <v>43606</v>
      </c>
      <c r="J18" s="1" t="s">
        <v>524</v>
      </c>
      <c r="K18" s="23" t="s">
        <v>176</v>
      </c>
      <c r="L18" s="1">
        <v>0.59699999999999998</v>
      </c>
    </row>
    <row r="19" spans="1:13" x14ac:dyDescent="0.2">
      <c r="A19" s="1" t="s">
        <v>170</v>
      </c>
      <c r="B19" s="1" t="s">
        <v>172</v>
      </c>
      <c r="C19" s="1">
        <v>2005</v>
      </c>
      <c r="D19" s="1" t="s">
        <v>281</v>
      </c>
      <c r="E19" s="1" t="s">
        <v>517</v>
      </c>
      <c r="F19" s="1" t="s">
        <v>295</v>
      </c>
      <c r="G19" s="1">
        <v>2004</v>
      </c>
      <c r="H19" s="23" t="s">
        <v>176</v>
      </c>
      <c r="I19" s="1">
        <v>32881</v>
      </c>
      <c r="J19" s="1" t="s">
        <v>524</v>
      </c>
      <c r="K19" s="23" t="s">
        <v>176</v>
      </c>
      <c r="L19" s="1">
        <v>0.45</v>
      </c>
    </row>
    <row r="20" spans="1:13" x14ac:dyDescent="0.2">
      <c r="A20" s="1" t="s">
        <v>170</v>
      </c>
      <c r="B20" s="1" t="s">
        <v>172</v>
      </c>
      <c r="C20" s="1">
        <v>2005</v>
      </c>
      <c r="D20" s="1" t="s">
        <v>281</v>
      </c>
      <c r="E20" s="1" t="s">
        <v>518</v>
      </c>
      <c r="G20" s="1">
        <v>2004</v>
      </c>
      <c r="H20" s="23" t="s">
        <v>176</v>
      </c>
      <c r="I20" s="1">
        <v>27154</v>
      </c>
      <c r="J20" s="1" t="s">
        <v>524</v>
      </c>
      <c r="K20" s="23" t="s">
        <v>176</v>
      </c>
      <c r="L20" s="1">
        <v>0.372</v>
      </c>
    </row>
    <row r="21" spans="1:13" x14ac:dyDescent="0.2">
      <c r="A21" s="1" t="s">
        <v>170</v>
      </c>
      <c r="B21" s="1" t="s">
        <v>172</v>
      </c>
      <c r="C21" s="1">
        <v>2005</v>
      </c>
      <c r="D21" s="1" t="s">
        <v>281</v>
      </c>
      <c r="E21" s="1" t="s">
        <v>299</v>
      </c>
      <c r="F21" s="1" t="s">
        <v>309</v>
      </c>
      <c r="G21" s="1">
        <v>2004</v>
      </c>
      <c r="H21" s="23" t="s">
        <v>176</v>
      </c>
      <c r="I21" s="1">
        <v>15316</v>
      </c>
      <c r="J21" s="1" t="s">
        <v>524</v>
      </c>
      <c r="K21" s="23" t="s">
        <v>176</v>
      </c>
      <c r="L21" s="1">
        <v>0.21</v>
      </c>
    </row>
    <row r="22" spans="1:13" x14ac:dyDescent="0.2">
      <c r="A22" s="1" t="s">
        <v>170</v>
      </c>
      <c r="B22" s="1" t="s">
        <v>172</v>
      </c>
      <c r="C22" s="1">
        <v>2005</v>
      </c>
      <c r="D22" s="1" t="s">
        <v>281</v>
      </c>
      <c r="E22" s="1" t="s">
        <v>293</v>
      </c>
      <c r="F22" s="1" t="s">
        <v>295</v>
      </c>
      <c r="G22" s="1">
        <v>2004</v>
      </c>
      <c r="H22" s="23" t="s">
        <v>176</v>
      </c>
      <c r="I22" s="1">
        <v>11087</v>
      </c>
      <c r="J22" s="1" t="s">
        <v>524</v>
      </c>
      <c r="K22" s="23" t="s">
        <v>176</v>
      </c>
      <c r="L22" s="1">
        <v>0.152</v>
      </c>
    </row>
    <row r="23" spans="1:13" x14ac:dyDescent="0.2">
      <c r="A23" s="1" t="s">
        <v>170</v>
      </c>
      <c r="B23" s="1" t="s">
        <v>172</v>
      </c>
      <c r="C23" s="1">
        <v>2005</v>
      </c>
      <c r="D23" s="1" t="s">
        <v>281</v>
      </c>
      <c r="E23" s="1" t="s">
        <v>519</v>
      </c>
      <c r="F23" s="1" t="s">
        <v>520</v>
      </c>
      <c r="G23" s="1">
        <v>2004</v>
      </c>
      <c r="H23" s="23" t="s">
        <v>176</v>
      </c>
      <c r="I23" s="1">
        <v>6075</v>
      </c>
      <c r="J23" s="1" t="s">
        <v>524</v>
      </c>
      <c r="K23" s="23" t="s">
        <v>176</v>
      </c>
      <c r="L23" s="1">
        <v>8.3000000000000004E-2</v>
      </c>
    </row>
    <row r="24" spans="1:13" x14ac:dyDescent="0.2">
      <c r="A24" s="1" t="s">
        <v>170</v>
      </c>
      <c r="B24" s="1" t="s">
        <v>172</v>
      </c>
      <c r="C24" s="1">
        <v>2005</v>
      </c>
      <c r="D24" s="1" t="s">
        <v>281</v>
      </c>
      <c r="E24" s="1" t="s">
        <v>300</v>
      </c>
      <c r="F24" s="1" t="s">
        <v>295</v>
      </c>
      <c r="G24" s="1">
        <v>2004</v>
      </c>
      <c r="H24" s="23" t="s">
        <v>176</v>
      </c>
      <c r="I24" s="1">
        <v>4995</v>
      </c>
      <c r="J24" s="1" t="s">
        <v>524</v>
      </c>
      <c r="K24" s="23" t="s">
        <v>176</v>
      </c>
      <c r="L24" s="1">
        <v>6.8000000000000005E-2</v>
      </c>
    </row>
    <row r="25" spans="1:13" x14ac:dyDescent="0.2">
      <c r="A25" s="1" t="s">
        <v>170</v>
      </c>
      <c r="B25" s="1" t="s">
        <v>172</v>
      </c>
      <c r="C25" s="1">
        <v>2005</v>
      </c>
      <c r="D25" s="1" t="s">
        <v>281</v>
      </c>
      <c r="E25" s="1" t="s">
        <v>521</v>
      </c>
      <c r="F25" s="1" t="s">
        <v>295</v>
      </c>
      <c r="G25" s="1">
        <v>2004</v>
      </c>
      <c r="H25" s="23" t="s">
        <v>176</v>
      </c>
      <c r="I25" s="1">
        <v>4909</v>
      </c>
      <c r="J25" s="1" t="s">
        <v>524</v>
      </c>
      <c r="K25" s="23" t="s">
        <v>176</v>
      </c>
      <c r="L25" s="1">
        <v>6.7000000000000004E-2</v>
      </c>
    </row>
    <row r="26" spans="1:13" x14ac:dyDescent="0.2">
      <c r="A26" s="1" t="s">
        <v>170</v>
      </c>
      <c r="B26" s="1" t="s">
        <v>172</v>
      </c>
      <c r="C26" s="1">
        <v>2005</v>
      </c>
      <c r="D26" s="1" t="s">
        <v>281</v>
      </c>
      <c r="E26" s="1" t="s">
        <v>522</v>
      </c>
      <c r="F26" s="1" t="s">
        <v>295</v>
      </c>
      <c r="G26" s="1">
        <v>2004</v>
      </c>
      <c r="H26" s="23" t="s">
        <v>176</v>
      </c>
      <c r="I26" s="1">
        <v>3613</v>
      </c>
      <c r="J26" s="1" t="s">
        <v>524</v>
      </c>
      <c r="K26" s="23" t="s">
        <v>176</v>
      </c>
      <c r="L26" s="1">
        <v>0.05</v>
      </c>
    </row>
    <row r="27" spans="1:13" x14ac:dyDescent="0.2">
      <c r="A27" s="1" t="s">
        <v>170</v>
      </c>
      <c r="B27" s="1" t="s">
        <v>172</v>
      </c>
      <c r="C27" s="1">
        <v>2005</v>
      </c>
      <c r="D27" s="1" t="s">
        <v>281</v>
      </c>
      <c r="E27" s="1" t="s">
        <v>219</v>
      </c>
      <c r="F27" s="1" t="s">
        <v>219</v>
      </c>
      <c r="G27" s="1">
        <v>2004</v>
      </c>
      <c r="H27" s="23" t="s">
        <v>176</v>
      </c>
      <c r="I27" s="1">
        <v>249440</v>
      </c>
      <c r="J27" s="1" t="s">
        <v>641</v>
      </c>
      <c r="K27" s="23" t="s">
        <v>176</v>
      </c>
      <c r="L27" s="23">
        <f>ROUND(I27/fiscal!$AI$18*100,2)</f>
        <v>3.59</v>
      </c>
    </row>
    <row r="28" spans="1:13" x14ac:dyDescent="0.2">
      <c r="A28" s="1" t="s">
        <v>170</v>
      </c>
      <c r="B28" s="1" t="s">
        <v>172</v>
      </c>
      <c r="C28" s="1">
        <v>2006</v>
      </c>
      <c r="D28" s="1" t="s">
        <v>281</v>
      </c>
      <c r="E28" s="1" t="s">
        <v>516</v>
      </c>
      <c r="F28" s="1" t="s">
        <v>523</v>
      </c>
      <c r="G28" s="1">
        <v>2005</v>
      </c>
      <c r="H28" s="23" t="s">
        <v>176</v>
      </c>
      <c r="I28" s="1">
        <v>71500</v>
      </c>
      <c r="J28" s="1" t="s">
        <v>641</v>
      </c>
      <c r="K28" s="23" t="s">
        <v>176</v>
      </c>
      <c r="L28" s="23">
        <f>ROUND(I28/fiscal!$AJ$18*100,2)</f>
        <v>0.92</v>
      </c>
    </row>
    <row r="29" spans="1:13" x14ac:dyDescent="0.2">
      <c r="A29" s="1" t="s">
        <v>170</v>
      </c>
      <c r="B29" s="1" t="s">
        <v>172</v>
      </c>
      <c r="C29" s="1">
        <v>2006</v>
      </c>
      <c r="D29" s="1" t="s">
        <v>281</v>
      </c>
      <c r="E29" s="1" t="s">
        <v>518</v>
      </c>
      <c r="G29" s="1">
        <v>2005</v>
      </c>
      <c r="H29" s="23" t="s">
        <v>176</v>
      </c>
      <c r="I29" s="1">
        <v>36355</v>
      </c>
      <c r="J29" s="1" t="s">
        <v>641</v>
      </c>
      <c r="K29" s="23" t="s">
        <v>176</v>
      </c>
      <c r="L29" s="23">
        <f>ROUND(I29/fiscal!$AJ$18*100,2)</f>
        <v>0.47</v>
      </c>
    </row>
    <row r="30" spans="1:13" x14ac:dyDescent="0.2">
      <c r="A30" s="1" t="s">
        <v>170</v>
      </c>
      <c r="B30" s="1" t="s">
        <v>172</v>
      </c>
      <c r="C30" s="1">
        <v>2006</v>
      </c>
      <c r="D30" s="1" t="s">
        <v>281</v>
      </c>
      <c r="E30" s="1" t="s">
        <v>517</v>
      </c>
      <c r="F30" s="1" t="s">
        <v>295</v>
      </c>
      <c r="G30" s="1">
        <v>2005</v>
      </c>
      <c r="H30" s="23" t="s">
        <v>176</v>
      </c>
      <c r="I30" s="1">
        <v>32000</v>
      </c>
      <c r="J30" s="1" t="s">
        <v>641</v>
      </c>
      <c r="K30" s="23" t="s">
        <v>176</v>
      </c>
      <c r="L30" s="23">
        <f>ROUND(I30/fiscal!$AJ$18*100,2)</f>
        <v>0.41</v>
      </c>
    </row>
    <row r="31" spans="1:13" x14ac:dyDescent="0.2">
      <c r="A31" s="1" t="s">
        <v>170</v>
      </c>
      <c r="B31" s="1" t="s">
        <v>172</v>
      </c>
      <c r="C31" s="1">
        <v>2006</v>
      </c>
      <c r="D31" s="1" t="s">
        <v>281</v>
      </c>
      <c r="E31" s="1" t="s">
        <v>299</v>
      </c>
      <c r="F31" s="1" t="s">
        <v>309</v>
      </c>
      <c r="G31" s="1">
        <v>2005</v>
      </c>
      <c r="H31" s="23" t="s">
        <v>176</v>
      </c>
      <c r="I31" s="1">
        <v>18831</v>
      </c>
      <c r="J31" s="1" t="s">
        <v>641</v>
      </c>
      <c r="K31" s="23" t="s">
        <v>176</v>
      </c>
      <c r="L31" s="23">
        <f>ROUND(I31/fiscal!$AJ$18*100,2)</f>
        <v>0.24</v>
      </c>
    </row>
    <row r="32" spans="1:13" x14ac:dyDescent="0.2">
      <c r="A32" s="1" t="s">
        <v>170</v>
      </c>
      <c r="B32" s="1" t="s">
        <v>172</v>
      </c>
      <c r="C32" s="1">
        <v>2006</v>
      </c>
      <c r="D32" s="1" t="s">
        <v>281</v>
      </c>
      <c r="E32" s="1" t="s">
        <v>521</v>
      </c>
      <c r="F32" s="1" t="s">
        <v>295</v>
      </c>
      <c r="G32" s="1">
        <v>2005</v>
      </c>
      <c r="H32" s="23" t="s">
        <v>176</v>
      </c>
      <c r="I32" s="1">
        <v>16800</v>
      </c>
      <c r="J32" s="1" t="s">
        <v>641</v>
      </c>
      <c r="K32" s="23" t="s">
        <v>176</v>
      </c>
      <c r="L32" s="23">
        <f>ROUND(I32/fiscal!$AJ$18*100,2)</f>
        <v>0.22</v>
      </c>
    </row>
    <row r="33" spans="1:12" x14ac:dyDescent="0.2">
      <c r="A33" s="1" t="s">
        <v>170</v>
      </c>
      <c r="B33" s="1" t="s">
        <v>172</v>
      </c>
      <c r="C33" s="1">
        <v>2006</v>
      </c>
      <c r="D33" s="1" t="s">
        <v>281</v>
      </c>
      <c r="E33" s="1" t="s">
        <v>293</v>
      </c>
      <c r="F33" s="1" t="s">
        <v>295</v>
      </c>
      <c r="G33" s="1">
        <v>2005</v>
      </c>
      <c r="H33" s="23" t="s">
        <v>176</v>
      </c>
      <c r="I33" s="1">
        <v>16098</v>
      </c>
      <c r="J33" s="1" t="s">
        <v>641</v>
      </c>
      <c r="K33" s="23" t="s">
        <v>176</v>
      </c>
      <c r="L33" s="23">
        <f>ROUND(I33/fiscal!$AJ$18*100,2)</f>
        <v>0.21</v>
      </c>
    </row>
    <row r="34" spans="1:12" x14ac:dyDescent="0.2">
      <c r="A34" s="1" t="s">
        <v>170</v>
      </c>
      <c r="B34" s="1" t="s">
        <v>172</v>
      </c>
      <c r="C34" s="1">
        <v>2006</v>
      </c>
      <c r="D34" s="1" t="s">
        <v>281</v>
      </c>
      <c r="E34" s="1" t="s">
        <v>519</v>
      </c>
      <c r="F34" s="1" t="s">
        <v>520</v>
      </c>
      <c r="G34" s="1">
        <v>2005</v>
      </c>
      <c r="H34" s="23" t="s">
        <v>176</v>
      </c>
      <c r="I34" s="1">
        <v>6105</v>
      </c>
      <c r="J34" s="1" t="s">
        <v>641</v>
      </c>
      <c r="K34" s="23" t="s">
        <v>176</v>
      </c>
      <c r="L34" s="23">
        <f>ROUND(I34/fiscal!$AJ$18*100,2)</f>
        <v>0.08</v>
      </c>
    </row>
    <row r="35" spans="1:12" x14ac:dyDescent="0.2">
      <c r="A35" s="1" t="s">
        <v>170</v>
      </c>
      <c r="B35" s="1" t="s">
        <v>172</v>
      </c>
      <c r="C35" s="1">
        <v>2006</v>
      </c>
      <c r="D35" s="1" t="s">
        <v>281</v>
      </c>
      <c r="E35" s="1" t="s">
        <v>300</v>
      </c>
      <c r="F35" s="1" t="s">
        <v>295</v>
      </c>
      <c r="G35" s="1">
        <v>2005</v>
      </c>
      <c r="H35" s="23" t="s">
        <v>176</v>
      </c>
      <c r="I35" s="1">
        <v>4280</v>
      </c>
      <c r="J35" s="1" t="s">
        <v>641</v>
      </c>
      <c r="K35" s="23" t="s">
        <v>176</v>
      </c>
      <c r="L35" s="23">
        <f>ROUND(I35/fiscal!$AJ$18*100,2)</f>
        <v>0.06</v>
      </c>
    </row>
    <row r="36" spans="1:12" x14ac:dyDescent="0.2">
      <c r="A36" s="1" t="s">
        <v>170</v>
      </c>
      <c r="B36" s="1" t="s">
        <v>172</v>
      </c>
      <c r="C36" s="1">
        <v>2006</v>
      </c>
      <c r="D36" s="1" t="s">
        <v>281</v>
      </c>
      <c r="E36" s="1" t="s">
        <v>522</v>
      </c>
      <c r="F36" s="1" t="s">
        <v>295</v>
      </c>
      <c r="G36" s="1">
        <v>2005</v>
      </c>
      <c r="H36" s="23" t="s">
        <v>176</v>
      </c>
      <c r="I36" s="1">
        <v>4298</v>
      </c>
      <c r="J36" s="1" t="s">
        <v>641</v>
      </c>
      <c r="K36" s="23" t="s">
        <v>176</v>
      </c>
      <c r="L36" s="23">
        <f>ROUND(I36/fiscal!$AJ$18*100,2)</f>
        <v>0.06</v>
      </c>
    </row>
    <row r="37" spans="1:12" x14ac:dyDescent="0.2">
      <c r="A37" s="1" t="s">
        <v>170</v>
      </c>
      <c r="B37" s="1" t="s">
        <v>172</v>
      </c>
      <c r="C37" s="1">
        <v>2006</v>
      </c>
      <c r="D37" s="1" t="s">
        <v>281</v>
      </c>
      <c r="E37" s="1" t="s">
        <v>176</v>
      </c>
      <c r="F37" s="1" t="s">
        <v>176</v>
      </c>
      <c r="G37" s="1">
        <v>2005</v>
      </c>
      <c r="H37" s="23" t="s">
        <v>176</v>
      </c>
      <c r="I37" s="1" t="s">
        <v>176</v>
      </c>
      <c r="J37" s="1" t="s">
        <v>641</v>
      </c>
      <c r="K37" s="23" t="s">
        <v>176</v>
      </c>
      <c r="L37" s="23" t="s">
        <v>176</v>
      </c>
    </row>
    <row r="38" spans="1:12" x14ac:dyDescent="0.2">
      <c r="A38" s="1" t="s">
        <v>170</v>
      </c>
      <c r="B38" s="1" t="s">
        <v>172</v>
      </c>
      <c r="C38" s="1">
        <v>2006</v>
      </c>
      <c r="D38" s="1" t="s">
        <v>281</v>
      </c>
      <c r="E38" s="1" t="s">
        <v>219</v>
      </c>
      <c r="F38" s="1" t="s">
        <v>219</v>
      </c>
      <c r="G38" s="1">
        <v>2005</v>
      </c>
      <c r="H38" s="23" t="s">
        <v>176</v>
      </c>
      <c r="I38" s="1">
        <f>SUM(I27:I37)</f>
        <v>455707</v>
      </c>
      <c r="J38" s="1" t="s">
        <v>641</v>
      </c>
      <c r="K38" s="23" t="s">
        <v>176</v>
      </c>
      <c r="L38" s="23">
        <f>ROUND(I38/fiscal!$AJ$18*100,2)</f>
        <v>5.87</v>
      </c>
    </row>
    <row r="39" spans="1:12" x14ac:dyDescent="0.2">
      <c r="A39" s="1" t="s">
        <v>170</v>
      </c>
      <c r="B39" s="1" t="s">
        <v>172</v>
      </c>
      <c r="C39" s="1">
        <v>2012</v>
      </c>
      <c r="D39" s="1" t="s">
        <v>281</v>
      </c>
      <c r="E39" s="1" t="s">
        <v>519</v>
      </c>
      <c r="F39" s="1" t="s">
        <v>520</v>
      </c>
      <c r="G39" s="1">
        <v>2011</v>
      </c>
      <c r="H39" s="23" t="s">
        <v>176</v>
      </c>
      <c r="I39" s="1">
        <v>110578</v>
      </c>
      <c r="J39" s="1" t="s">
        <v>641</v>
      </c>
      <c r="K39" s="23" t="s">
        <v>176</v>
      </c>
      <c r="L39" s="23">
        <f>ROUND(I39/fiscal!$AP$18*100,2)</f>
        <v>1.38</v>
      </c>
    </row>
    <row r="40" spans="1:12" x14ac:dyDescent="0.2">
      <c r="A40" s="1" t="s">
        <v>170</v>
      </c>
      <c r="B40" s="1" t="s">
        <v>172</v>
      </c>
      <c r="C40" s="1">
        <v>2012</v>
      </c>
      <c r="D40" s="1" t="s">
        <v>281</v>
      </c>
      <c r="E40" s="1" t="s">
        <v>611</v>
      </c>
      <c r="F40" s="1" t="s">
        <v>612</v>
      </c>
      <c r="G40" s="1">
        <v>2011</v>
      </c>
      <c r="H40" s="23" t="s">
        <v>176</v>
      </c>
      <c r="I40" s="1">
        <v>54617</v>
      </c>
      <c r="J40" s="1" t="s">
        <v>641</v>
      </c>
      <c r="K40" s="23" t="s">
        <v>176</v>
      </c>
      <c r="L40" s="23">
        <f>ROUND(I40/fiscal!$AP$18*100,2)</f>
        <v>0.68</v>
      </c>
    </row>
    <row r="41" spans="1:12" x14ac:dyDescent="0.2">
      <c r="A41" s="1" t="s">
        <v>170</v>
      </c>
      <c r="B41" s="1" t="s">
        <v>172</v>
      </c>
      <c r="C41" s="1">
        <v>2012</v>
      </c>
      <c r="D41" s="1" t="s">
        <v>281</v>
      </c>
      <c r="E41" s="1" t="s">
        <v>613</v>
      </c>
      <c r="F41" s="1" t="s">
        <v>687</v>
      </c>
      <c r="G41" s="1">
        <v>2011</v>
      </c>
      <c r="H41" s="23" t="s">
        <v>176</v>
      </c>
      <c r="I41" s="1">
        <v>52614</v>
      </c>
      <c r="J41" s="1" t="s">
        <v>641</v>
      </c>
      <c r="K41" s="23" t="s">
        <v>176</v>
      </c>
      <c r="L41" s="23">
        <f>ROUND(I41/fiscal!$AP$18*100,2)</f>
        <v>0.66</v>
      </c>
    </row>
    <row r="42" spans="1:12" x14ac:dyDescent="0.2">
      <c r="A42" s="1" t="s">
        <v>170</v>
      </c>
      <c r="B42" s="1" t="s">
        <v>172</v>
      </c>
      <c r="C42" s="1">
        <v>2012</v>
      </c>
      <c r="D42" s="1" t="s">
        <v>281</v>
      </c>
      <c r="E42" s="1" t="s">
        <v>614</v>
      </c>
      <c r="F42" s="1" t="s">
        <v>295</v>
      </c>
      <c r="G42" s="1">
        <v>2011</v>
      </c>
      <c r="H42" s="23" t="s">
        <v>176</v>
      </c>
      <c r="I42" s="1">
        <v>35745</v>
      </c>
      <c r="J42" s="1" t="s">
        <v>641</v>
      </c>
      <c r="K42" s="23" t="s">
        <v>176</v>
      </c>
      <c r="L42" s="23">
        <f>ROUND(I42/fiscal!$AP$18*100,2)</f>
        <v>0.45</v>
      </c>
    </row>
    <row r="43" spans="1:12" x14ac:dyDescent="0.2">
      <c r="A43" s="1" t="s">
        <v>170</v>
      </c>
      <c r="B43" s="1" t="s">
        <v>172</v>
      </c>
      <c r="C43" s="1">
        <v>2012</v>
      </c>
      <c r="D43" s="1" t="s">
        <v>281</v>
      </c>
      <c r="E43" s="1" t="s">
        <v>615</v>
      </c>
      <c r="F43" s="1" t="s">
        <v>295</v>
      </c>
      <c r="G43" s="1">
        <v>2011</v>
      </c>
      <c r="H43" s="23" t="s">
        <v>176</v>
      </c>
      <c r="I43" s="1">
        <v>27766</v>
      </c>
      <c r="J43" s="1" t="s">
        <v>641</v>
      </c>
      <c r="K43" s="23" t="s">
        <v>176</v>
      </c>
      <c r="L43" s="23">
        <f>ROUND(I43/fiscal!$AP$18*100,2)</f>
        <v>0.35</v>
      </c>
    </row>
    <row r="44" spans="1:12" x14ac:dyDescent="0.2">
      <c r="A44" s="1" t="s">
        <v>170</v>
      </c>
      <c r="B44" s="1" t="s">
        <v>172</v>
      </c>
      <c r="C44" s="1">
        <v>2012</v>
      </c>
      <c r="D44" s="1" t="s">
        <v>281</v>
      </c>
      <c r="E44" s="1" t="s">
        <v>616</v>
      </c>
      <c r="F44" s="1" t="s">
        <v>617</v>
      </c>
      <c r="G44" s="1">
        <v>2011</v>
      </c>
      <c r="H44" s="23" t="s">
        <v>176</v>
      </c>
      <c r="I44" s="1">
        <v>24792</v>
      </c>
      <c r="J44" s="1" t="s">
        <v>641</v>
      </c>
      <c r="K44" s="23" t="s">
        <v>176</v>
      </c>
      <c r="L44" s="23">
        <f>ROUND(I44/fiscal!$AP$18*100,2)</f>
        <v>0.31</v>
      </c>
    </row>
    <row r="45" spans="1:12" x14ac:dyDescent="0.2">
      <c r="A45" s="1" t="s">
        <v>170</v>
      </c>
      <c r="B45" s="1" t="s">
        <v>172</v>
      </c>
      <c r="C45" s="1">
        <v>2012</v>
      </c>
      <c r="D45" s="1" t="s">
        <v>281</v>
      </c>
      <c r="E45" s="1" t="s">
        <v>618</v>
      </c>
      <c r="F45" s="1" t="s">
        <v>295</v>
      </c>
      <c r="G45" s="1">
        <v>2011</v>
      </c>
      <c r="H45" s="23" t="s">
        <v>176</v>
      </c>
      <c r="I45" s="1">
        <v>22491</v>
      </c>
      <c r="J45" s="1" t="s">
        <v>641</v>
      </c>
      <c r="K45" s="23" t="s">
        <v>176</v>
      </c>
      <c r="L45" s="23">
        <f>ROUND(I45/fiscal!$AP$18*100,2)</f>
        <v>0.28000000000000003</v>
      </c>
    </row>
    <row r="46" spans="1:12" x14ac:dyDescent="0.2">
      <c r="A46" s="1" t="s">
        <v>170</v>
      </c>
      <c r="B46" s="1" t="s">
        <v>172</v>
      </c>
      <c r="C46" s="1">
        <v>2012</v>
      </c>
      <c r="D46" s="1" t="s">
        <v>281</v>
      </c>
      <c r="E46" s="1" t="s">
        <v>619</v>
      </c>
      <c r="F46" s="1" t="s">
        <v>627</v>
      </c>
      <c r="G46" s="1">
        <v>2011</v>
      </c>
      <c r="H46" s="23" t="s">
        <v>176</v>
      </c>
      <c r="I46" s="1">
        <v>22232</v>
      </c>
      <c r="J46" s="1" t="s">
        <v>641</v>
      </c>
      <c r="K46" s="23" t="s">
        <v>176</v>
      </c>
      <c r="L46" s="23">
        <f>ROUND(I46/fiscal!$AP$18*100,2)</f>
        <v>0.28000000000000003</v>
      </c>
    </row>
    <row r="47" spans="1:12" x14ac:dyDescent="0.2">
      <c r="A47" s="1" t="s">
        <v>170</v>
      </c>
      <c r="B47" s="1" t="s">
        <v>172</v>
      </c>
      <c r="C47" s="1">
        <v>2012</v>
      </c>
      <c r="D47" s="1" t="s">
        <v>281</v>
      </c>
      <c r="E47" s="1" t="s">
        <v>620</v>
      </c>
      <c r="F47" s="1" t="s">
        <v>623</v>
      </c>
      <c r="G47" s="1">
        <v>2011</v>
      </c>
      <c r="H47" s="23" t="s">
        <v>176</v>
      </c>
      <c r="I47" s="1">
        <v>21049</v>
      </c>
      <c r="J47" s="1" t="s">
        <v>641</v>
      </c>
      <c r="K47" s="23" t="s">
        <v>176</v>
      </c>
      <c r="L47" s="23">
        <f>ROUND(I47/fiscal!$AP$18*100,2)</f>
        <v>0.26</v>
      </c>
    </row>
    <row r="48" spans="1:12" x14ac:dyDescent="0.2">
      <c r="A48" s="1" t="s">
        <v>170</v>
      </c>
      <c r="B48" s="1" t="s">
        <v>172</v>
      </c>
      <c r="C48" s="1">
        <v>2012</v>
      </c>
      <c r="D48" s="1" t="s">
        <v>281</v>
      </c>
      <c r="E48" s="1" t="s">
        <v>518</v>
      </c>
      <c r="F48" s="1" t="s">
        <v>228</v>
      </c>
      <c r="G48" s="1">
        <v>2011</v>
      </c>
      <c r="H48" s="23" t="s">
        <v>176</v>
      </c>
      <c r="I48" s="1">
        <v>19284</v>
      </c>
      <c r="J48" s="1" t="s">
        <v>641</v>
      </c>
      <c r="K48" s="23" t="s">
        <v>176</v>
      </c>
      <c r="L48" s="23">
        <f>ROUND(I48/fiscal!$AP$18*100,2)</f>
        <v>0.24</v>
      </c>
    </row>
    <row r="49" spans="1:12" x14ac:dyDescent="0.2">
      <c r="A49" s="1" t="s">
        <v>170</v>
      </c>
      <c r="B49" s="1" t="s">
        <v>172</v>
      </c>
      <c r="C49" s="1">
        <v>2012</v>
      </c>
      <c r="D49" s="1" t="s">
        <v>281</v>
      </c>
      <c r="E49" s="1" t="s">
        <v>621</v>
      </c>
      <c r="F49" s="1" t="s">
        <v>628</v>
      </c>
      <c r="G49" s="1">
        <v>2011</v>
      </c>
      <c r="H49" s="23" t="s">
        <v>176</v>
      </c>
      <c r="I49" s="1">
        <v>18672</v>
      </c>
      <c r="J49" s="1" t="s">
        <v>641</v>
      </c>
      <c r="K49" s="23" t="s">
        <v>176</v>
      </c>
      <c r="L49" s="23">
        <f>ROUND(I49/fiscal!$AP$18*100,2)</f>
        <v>0.23</v>
      </c>
    </row>
    <row r="50" spans="1:12" x14ac:dyDescent="0.2">
      <c r="A50" s="1" t="s">
        <v>170</v>
      </c>
      <c r="B50" s="1" t="s">
        <v>172</v>
      </c>
      <c r="C50" s="1">
        <v>2012</v>
      </c>
      <c r="D50" s="1" t="s">
        <v>281</v>
      </c>
      <c r="E50" s="1" t="s">
        <v>622</v>
      </c>
      <c r="F50" s="1" t="s">
        <v>623</v>
      </c>
      <c r="G50" s="1">
        <v>2011</v>
      </c>
      <c r="H50" s="23" t="s">
        <v>176</v>
      </c>
      <c r="I50" s="1">
        <v>16282</v>
      </c>
      <c r="J50" s="1" t="s">
        <v>641</v>
      </c>
      <c r="K50" s="23" t="s">
        <v>176</v>
      </c>
      <c r="L50" s="23">
        <f>ROUND(I50/fiscal!$AP$18*100,2)</f>
        <v>0.2</v>
      </c>
    </row>
    <row r="51" spans="1:12" x14ac:dyDescent="0.2">
      <c r="A51" s="1" t="s">
        <v>170</v>
      </c>
      <c r="B51" s="1" t="s">
        <v>172</v>
      </c>
      <c r="C51" s="1">
        <v>2012</v>
      </c>
      <c r="D51" s="1" t="s">
        <v>281</v>
      </c>
      <c r="E51" s="1" t="s">
        <v>624</v>
      </c>
      <c r="F51" s="1" t="s">
        <v>623</v>
      </c>
      <c r="G51" s="1">
        <v>2011</v>
      </c>
      <c r="H51" s="23" t="s">
        <v>176</v>
      </c>
      <c r="I51" s="1">
        <v>15343</v>
      </c>
      <c r="J51" s="1" t="s">
        <v>641</v>
      </c>
      <c r="K51" s="23" t="s">
        <v>176</v>
      </c>
      <c r="L51" s="23">
        <f>ROUND(I51/fiscal!$AP$18*100,2)</f>
        <v>0.19</v>
      </c>
    </row>
    <row r="52" spans="1:12" x14ac:dyDescent="0.2">
      <c r="A52" s="1" t="s">
        <v>170</v>
      </c>
      <c r="B52" s="1" t="s">
        <v>172</v>
      </c>
      <c r="C52" s="1">
        <v>2012</v>
      </c>
      <c r="D52" s="1" t="s">
        <v>281</v>
      </c>
      <c r="E52" s="1" t="s">
        <v>293</v>
      </c>
      <c r="F52" s="1" t="s">
        <v>295</v>
      </c>
      <c r="G52" s="1">
        <v>2011</v>
      </c>
      <c r="H52" s="23" t="s">
        <v>176</v>
      </c>
      <c r="I52" s="1">
        <v>15288</v>
      </c>
      <c r="J52" s="1" t="s">
        <v>641</v>
      </c>
      <c r="K52" s="23" t="s">
        <v>176</v>
      </c>
      <c r="L52" s="23">
        <f>ROUND(I52/fiscal!$AP$18*100,2)</f>
        <v>0.19</v>
      </c>
    </row>
    <row r="53" spans="1:12" x14ac:dyDescent="0.2">
      <c r="A53" s="1" t="s">
        <v>170</v>
      </c>
      <c r="B53" s="1" t="s">
        <v>172</v>
      </c>
      <c r="C53" s="1">
        <v>2012</v>
      </c>
      <c r="D53" s="1" t="s">
        <v>281</v>
      </c>
      <c r="E53" s="1" t="s">
        <v>625</v>
      </c>
      <c r="F53" s="1" t="s">
        <v>626</v>
      </c>
      <c r="G53" s="1">
        <v>2011</v>
      </c>
      <c r="H53" s="23" t="s">
        <v>176</v>
      </c>
      <c r="I53" s="1">
        <v>15200</v>
      </c>
      <c r="J53" s="1" t="s">
        <v>641</v>
      </c>
      <c r="K53" s="23" t="s">
        <v>176</v>
      </c>
      <c r="L53" s="23">
        <f>ROUND(I53/fiscal!$AP$18*100,2)</f>
        <v>0.19</v>
      </c>
    </row>
    <row r="54" spans="1:12" x14ac:dyDescent="0.2">
      <c r="A54" s="1" t="s">
        <v>170</v>
      </c>
      <c r="B54" s="1" t="s">
        <v>172</v>
      </c>
      <c r="C54" s="1">
        <v>2012</v>
      </c>
      <c r="D54" s="1" t="s">
        <v>281</v>
      </c>
      <c r="E54" s="1" t="s">
        <v>219</v>
      </c>
      <c r="F54" s="1" t="s">
        <v>219</v>
      </c>
      <c r="G54" s="1">
        <v>2011</v>
      </c>
      <c r="H54" s="23" t="s">
        <v>176</v>
      </c>
      <c r="I54" s="1">
        <v>471953</v>
      </c>
      <c r="J54" s="1" t="s">
        <v>641</v>
      </c>
      <c r="K54" s="23" t="s">
        <v>176</v>
      </c>
      <c r="L54" s="23">
        <f>ROUND(I54/fiscal!$AP$18*100,2)</f>
        <v>5.88</v>
      </c>
    </row>
    <row r="55" spans="1:12" x14ac:dyDescent="0.2">
      <c r="A55" s="1" t="s">
        <v>170</v>
      </c>
      <c r="B55" s="1" t="s">
        <v>172</v>
      </c>
      <c r="C55" s="1" t="s">
        <v>176</v>
      </c>
      <c r="D55" s="1" t="s">
        <v>281</v>
      </c>
      <c r="E55" s="1" t="s">
        <v>613</v>
      </c>
      <c r="F55" s="1" t="s">
        <v>687</v>
      </c>
      <c r="G55" s="1">
        <v>2012</v>
      </c>
      <c r="H55" s="23" t="s">
        <v>176</v>
      </c>
      <c r="I55" s="1">
        <v>117051</v>
      </c>
      <c r="J55" s="1" t="s">
        <v>641</v>
      </c>
      <c r="K55" s="23" t="s">
        <v>176</v>
      </c>
      <c r="L55" s="23">
        <f>ROUND(I55/fiscal!$AQ$18*100,2)</f>
        <v>1.23</v>
      </c>
    </row>
    <row r="56" spans="1:12" x14ac:dyDescent="0.2">
      <c r="A56" s="1" t="s">
        <v>170</v>
      </c>
      <c r="B56" s="1" t="s">
        <v>172</v>
      </c>
      <c r="C56" s="1" t="s">
        <v>176</v>
      </c>
      <c r="D56" s="1" t="s">
        <v>281</v>
      </c>
      <c r="E56" s="1" t="s">
        <v>519</v>
      </c>
      <c r="F56" s="1" t="s">
        <v>520</v>
      </c>
      <c r="G56" s="1">
        <v>2012</v>
      </c>
      <c r="H56" s="23" t="s">
        <v>176</v>
      </c>
      <c r="I56" s="1">
        <v>115499</v>
      </c>
      <c r="J56" s="1" t="s">
        <v>641</v>
      </c>
      <c r="K56" s="23" t="s">
        <v>176</v>
      </c>
      <c r="L56" s="23">
        <f>ROUND(I56/fiscal!$AQ$18*100,2)</f>
        <v>1.22</v>
      </c>
    </row>
    <row r="57" spans="1:12" x14ac:dyDescent="0.2">
      <c r="A57" s="1" t="s">
        <v>170</v>
      </c>
      <c r="B57" s="1" t="s">
        <v>172</v>
      </c>
      <c r="C57" s="1" t="s">
        <v>176</v>
      </c>
      <c r="D57" s="1" t="s">
        <v>281</v>
      </c>
      <c r="E57" s="1" t="s">
        <v>611</v>
      </c>
      <c r="F57" s="1" t="s">
        <v>612</v>
      </c>
      <c r="G57" s="1">
        <v>2012</v>
      </c>
      <c r="H57" s="23" t="s">
        <v>176</v>
      </c>
      <c r="I57" s="1">
        <v>96145</v>
      </c>
      <c r="J57" s="1" t="s">
        <v>641</v>
      </c>
      <c r="K57" s="23" t="s">
        <v>176</v>
      </c>
      <c r="L57" s="23">
        <f>ROUND(I57/fiscal!$AQ$18*100,2)</f>
        <v>1.01</v>
      </c>
    </row>
    <row r="58" spans="1:12" x14ac:dyDescent="0.2">
      <c r="A58" s="1" t="s">
        <v>170</v>
      </c>
      <c r="B58" s="1" t="s">
        <v>172</v>
      </c>
      <c r="C58" s="1" t="s">
        <v>176</v>
      </c>
      <c r="D58" s="1" t="s">
        <v>281</v>
      </c>
      <c r="E58" s="1" t="s">
        <v>614</v>
      </c>
      <c r="F58" s="1" t="s">
        <v>295</v>
      </c>
      <c r="G58" s="1">
        <v>2012</v>
      </c>
      <c r="H58" s="23" t="s">
        <v>176</v>
      </c>
      <c r="I58" s="1">
        <v>77287</v>
      </c>
      <c r="J58" s="1" t="s">
        <v>641</v>
      </c>
      <c r="K58" s="23" t="s">
        <v>176</v>
      </c>
      <c r="L58" s="23">
        <f>ROUND(I58/fiscal!$AQ$18*100,2)</f>
        <v>0.81</v>
      </c>
    </row>
    <row r="59" spans="1:12" x14ac:dyDescent="0.2">
      <c r="A59" s="1" t="s">
        <v>170</v>
      </c>
      <c r="B59" s="1" t="s">
        <v>172</v>
      </c>
      <c r="C59" s="1" t="s">
        <v>176</v>
      </c>
      <c r="D59" s="1" t="s">
        <v>281</v>
      </c>
      <c r="E59" s="1" t="s">
        <v>615</v>
      </c>
      <c r="F59" s="1" t="s">
        <v>295</v>
      </c>
      <c r="G59" s="1">
        <v>2012</v>
      </c>
      <c r="H59" s="23" t="s">
        <v>176</v>
      </c>
      <c r="I59" s="1">
        <v>68666</v>
      </c>
      <c r="J59" s="1" t="s">
        <v>641</v>
      </c>
      <c r="K59" s="23" t="s">
        <v>176</v>
      </c>
      <c r="L59" s="23">
        <f>ROUND(I59/fiscal!$AQ$18*100,2)</f>
        <v>0.72</v>
      </c>
    </row>
    <row r="60" spans="1:12" x14ac:dyDescent="0.2">
      <c r="A60" s="1" t="s">
        <v>170</v>
      </c>
      <c r="B60" s="1" t="s">
        <v>172</v>
      </c>
      <c r="C60" s="1" t="s">
        <v>176</v>
      </c>
      <c r="D60" s="1" t="s">
        <v>281</v>
      </c>
      <c r="E60" s="1" t="s">
        <v>618</v>
      </c>
      <c r="F60" s="1" t="s">
        <v>295</v>
      </c>
      <c r="G60" s="1">
        <v>2012</v>
      </c>
      <c r="H60" s="23" t="s">
        <v>176</v>
      </c>
      <c r="I60" s="1">
        <v>62674</v>
      </c>
      <c r="J60" s="1" t="s">
        <v>641</v>
      </c>
      <c r="K60" s="23" t="s">
        <v>176</v>
      </c>
      <c r="L60" s="23">
        <f>ROUND(I60/fiscal!$AQ$18*100,2)</f>
        <v>0.66</v>
      </c>
    </row>
    <row r="61" spans="1:12" x14ac:dyDescent="0.2">
      <c r="A61" s="1" t="s">
        <v>170</v>
      </c>
      <c r="B61" s="1" t="s">
        <v>172</v>
      </c>
      <c r="C61" s="1" t="s">
        <v>176</v>
      </c>
      <c r="D61" s="1" t="s">
        <v>281</v>
      </c>
      <c r="E61" s="1" t="s">
        <v>695</v>
      </c>
      <c r="F61" s="1" t="s">
        <v>295</v>
      </c>
      <c r="G61" s="1">
        <v>2012</v>
      </c>
      <c r="H61" s="23" t="s">
        <v>176</v>
      </c>
      <c r="I61" s="1">
        <v>55336</v>
      </c>
      <c r="J61" s="1" t="s">
        <v>641</v>
      </c>
      <c r="K61" s="23" t="s">
        <v>176</v>
      </c>
      <c r="L61" s="23">
        <f>ROUND(I61/fiscal!$AQ$18*100,2)</f>
        <v>0.57999999999999996</v>
      </c>
    </row>
    <row r="62" spans="1:12" x14ac:dyDescent="0.2">
      <c r="A62" s="1" t="s">
        <v>170</v>
      </c>
      <c r="B62" s="1" t="s">
        <v>172</v>
      </c>
      <c r="C62" s="1" t="s">
        <v>176</v>
      </c>
      <c r="D62" s="1" t="s">
        <v>281</v>
      </c>
      <c r="E62" s="1" t="s">
        <v>696</v>
      </c>
      <c r="F62" s="1" t="s">
        <v>228</v>
      </c>
      <c r="G62" s="1">
        <v>2012</v>
      </c>
      <c r="H62" s="23" t="s">
        <v>176</v>
      </c>
      <c r="I62" s="1">
        <v>52253</v>
      </c>
      <c r="J62" s="1" t="s">
        <v>641</v>
      </c>
      <c r="K62" s="23" t="s">
        <v>176</v>
      </c>
      <c r="L62" s="23">
        <f>ROUND(I62/fiscal!$AQ$18*100,2)</f>
        <v>0.55000000000000004</v>
      </c>
    </row>
    <row r="63" spans="1:12" x14ac:dyDescent="0.2">
      <c r="A63" s="1" t="s">
        <v>170</v>
      </c>
      <c r="B63" s="1" t="s">
        <v>172</v>
      </c>
      <c r="C63" s="1" t="s">
        <v>176</v>
      </c>
      <c r="D63" s="1" t="s">
        <v>281</v>
      </c>
      <c r="E63" s="1" t="s">
        <v>620</v>
      </c>
      <c r="F63" s="1" t="s">
        <v>623</v>
      </c>
      <c r="G63" s="1">
        <v>2012</v>
      </c>
      <c r="H63" s="23" t="s">
        <v>176</v>
      </c>
      <c r="I63" s="1">
        <v>41861</v>
      </c>
      <c r="J63" s="1" t="s">
        <v>641</v>
      </c>
      <c r="K63" s="23" t="s">
        <v>176</v>
      </c>
      <c r="L63" s="23">
        <f>ROUND(I63/fiscal!$AQ$18*100,2)</f>
        <v>0.44</v>
      </c>
    </row>
    <row r="64" spans="1:12" x14ac:dyDescent="0.2">
      <c r="A64" s="1" t="s">
        <v>170</v>
      </c>
      <c r="B64" s="1" t="s">
        <v>172</v>
      </c>
      <c r="C64" s="1" t="s">
        <v>176</v>
      </c>
      <c r="D64" s="1" t="s">
        <v>281</v>
      </c>
      <c r="E64" s="1" t="s">
        <v>621</v>
      </c>
      <c r="F64" s="1" t="s">
        <v>628</v>
      </c>
      <c r="G64" s="1">
        <v>2012</v>
      </c>
      <c r="H64" s="23" t="s">
        <v>176</v>
      </c>
      <c r="I64" s="1">
        <v>41782</v>
      </c>
      <c r="J64" s="1" t="s">
        <v>641</v>
      </c>
      <c r="K64" s="23" t="s">
        <v>176</v>
      </c>
      <c r="L64" s="23">
        <f>ROUND(I64/fiscal!$AQ$18*100,2)</f>
        <v>0.44</v>
      </c>
    </row>
    <row r="65" spans="1:12" x14ac:dyDescent="0.2">
      <c r="A65" s="1" t="s">
        <v>170</v>
      </c>
      <c r="B65" s="1" t="s">
        <v>172</v>
      </c>
      <c r="C65" s="1" t="s">
        <v>176</v>
      </c>
      <c r="D65" s="1" t="s">
        <v>281</v>
      </c>
      <c r="E65" s="1" t="s">
        <v>518</v>
      </c>
      <c r="F65" s="1" t="s">
        <v>228</v>
      </c>
      <c r="G65" s="1">
        <v>2012</v>
      </c>
      <c r="H65" s="23" t="s">
        <v>176</v>
      </c>
      <c r="I65" s="1">
        <v>25653</v>
      </c>
      <c r="J65" s="1" t="s">
        <v>641</v>
      </c>
      <c r="K65" s="23" t="s">
        <v>176</v>
      </c>
      <c r="L65" s="23">
        <f>ROUND(I65/fiscal!$AQ$18*100,2)</f>
        <v>0.27</v>
      </c>
    </row>
    <row r="66" spans="1:12" x14ac:dyDescent="0.2">
      <c r="A66" s="1" t="s">
        <v>170</v>
      </c>
      <c r="B66" s="1" t="s">
        <v>172</v>
      </c>
      <c r="C66" s="1" t="s">
        <v>176</v>
      </c>
      <c r="D66" s="1" t="s">
        <v>281</v>
      </c>
      <c r="E66" s="1" t="s">
        <v>616</v>
      </c>
      <c r="F66" s="1" t="s">
        <v>617</v>
      </c>
      <c r="G66" s="1">
        <v>2012</v>
      </c>
      <c r="H66" s="23" t="s">
        <v>176</v>
      </c>
      <c r="I66" s="1">
        <v>22458</v>
      </c>
      <c r="J66" s="1" t="s">
        <v>641</v>
      </c>
      <c r="K66" s="23" t="s">
        <v>176</v>
      </c>
      <c r="L66" s="23">
        <f>ROUND(I66/fiscal!$AQ$18*100,2)</f>
        <v>0.24</v>
      </c>
    </row>
    <row r="67" spans="1:12" x14ac:dyDescent="0.2">
      <c r="A67" s="1" t="s">
        <v>170</v>
      </c>
      <c r="B67" s="1" t="s">
        <v>172</v>
      </c>
      <c r="C67" s="1" t="s">
        <v>176</v>
      </c>
      <c r="D67" s="1" t="s">
        <v>281</v>
      </c>
      <c r="E67" s="1" t="s">
        <v>697</v>
      </c>
      <c r="F67" s="1" t="s">
        <v>698</v>
      </c>
      <c r="G67" s="1">
        <v>2012</v>
      </c>
      <c r="H67" s="23" t="s">
        <v>176</v>
      </c>
      <c r="I67" s="1">
        <v>21840</v>
      </c>
      <c r="J67" s="1" t="s">
        <v>641</v>
      </c>
      <c r="K67" s="23" t="s">
        <v>176</v>
      </c>
      <c r="L67" s="23">
        <f>ROUND(I67/fiscal!$AQ$18*100,2)</f>
        <v>0.23</v>
      </c>
    </row>
    <row r="68" spans="1:12" x14ac:dyDescent="0.2">
      <c r="A68" s="1" t="s">
        <v>170</v>
      </c>
      <c r="B68" s="1" t="s">
        <v>172</v>
      </c>
      <c r="C68" s="1" t="s">
        <v>176</v>
      </c>
      <c r="D68" s="1" t="s">
        <v>281</v>
      </c>
      <c r="E68" s="1" t="s">
        <v>303</v>
      </c>
      <c r="F68" s="1" t="s">
        <v>295</v>
      </c>
      <c r="G68" s="1">
        <v>2012</v>
      </c>
      <c r="H68" s="23" t="s">
        <v>176</v>
      </c>
      <c r="I68" s="1">
        <v>19241</v>
      </c>
      <c r="J68" s="1" t="s">
        <v>641</v>
      </c>
      <c r="K68" s="23" t="s">
        <v>176</v>
      </c>
      <c r="L68" s="23">
        <f>ROUND(I68/fiscal!$AQ$18*100,2)</f>
        <v>0.2</v>
      </c>
    </row>
    <row r="69" spans="1:12" x14ac:dyDescent="0.2">
      <c r="A69" s="1" t="s">
        <v>170</v>
      </c>
      <c r="B69" s="1" t="s">
        <v>172</v>
      </c>
      <c r="C69" s="1" t="s">
        <v>176</v>
      </c>
      <c r="D69" s="1" t="s">
        <v>281</v>
      </c>
      <c r="E69" s="1" t="s">
        <v>699</v>
      </c>
      <c r="F69" s="1" t="s">
        <v>698</v>
      </c>
      <c r="G69" s="1">
        <v>2012</v>
      </c>
      <c r="H69" s="23" t="s">
        <v>176</v>
      </c>
      <c r="I69" s="1">
        <v>18720</v>
      </c>
      <c r="J69" s="1" t="s">
        <v>641</v>
      </c>
      <c r="K69" s="23" t="s">
        <v>176</v>
      </c>
      <c r="L69" s="23">
        <f>ROUND(I69/fiscal!$AQ$18*100,2)</f>
        <v>0.2</v>
      </c>
    </row>
    <row r="70" spans="1:12" x14ac:dyDescent="0.2">
      <c r="A70" s="1" t="s">
        <v>170</v>
      </c>
      <c r="B70" s="1" t="s">
        <v>172</v>
      </c>
      <c r="C70" s="1" t="s">
        <v>176</v>
      </c>
      <c r="D70" s="1" t="s">
        <v>281</v>
      </c>
      <c r="E70" s="1" t="s">
        <v>219</v>
      </c>
      <c r="F70" s="1" t="s">
        <v>219</v>
      </c>
      <c r="G70" s="1">
        <v>2012</v>
      </c>
      <c r="H70" s="23" t="s">
        <v>176</v>
      </c>
      <c r="I70" s="1">
        <v>603916</v>
      </c>
      <c r="J70" s="1" t="s">
        <v>641</v>
      </c>
      <c r="K70" s="23" t="s">
        <v>176</v>
      </c>
      <c r="L70" s="23">
        <f>ROUND(I70/fiscal!$AQ$18*100,2)</f>
        <v>6.37</v>
      </c>
    </row>
    <row r="71" spans="1:12" x14ac:dyDescent="0.2">
      <c r="A71" s="1" t="s">
        <v>170</v>
      </c>
      <c r="B71" s="1" t="s">
        <v>172</v>
      </c>
      <c r="C71" s="1">
        <v>2016</v>
      </c>
      <c r="D71" s="1" t="s">
        <v>281</v>
      </c>
      <c r="E71" s="1" t="s">
        <v>519</v>
      </c>
      <c r="F71" s="1" t="s">
        <v>520</v>
      </c>
      <c r="G71" s="1">
        <v>2015</v>
      </c>
      <c r="H71" s="23" t="s">
        <v>176</v>
      </c>
      <c r="I71" s="1">
        <v>95377</v>
      </c>
      <c r="J71" s="1" t="s">
        <v>641</v>
      </c>
      <c r="K71" s="23" t="s">
        <v>176</v>
      </c>
      <c r="L71" s="23">
        <f>ROUND(I71/fiscal!$AT$18*100,2)</f>
        <v>1.04</v>
      </c>
    </row>
    <row r="72" spans="1:12" x14ac:dyDescent="0.2">
      <c r="A72" s="1" t="s">
        <v>170</v>
      </c>
      <c r="B72" s="1" t="s">
        <v>172</v>
      </c>
      <c r="C72" s="1">
        <v>2016</v>
      </c>
      <c r="D72" s="1" t="s">
        <v>281</v>
      </c>
      <c r="E72" s="1" t="s">
        <v>611</v>
      </c>
      <c r="F72" s="1" t="s">
        <v>612</v>
      </c>
      <c r="G72" s="1">
        <v>2015</v>
      </c>
      <c r="H72" s="23" t="s">
        <v>176</v>
      </c>
      <c r="I72" s="1">
        <v>82066</v>
      </c>
      <c r="J72" s="1" t="s">
        <v>641</v>
      </c>
      <c r="K72" s="23" t="s">
        <v>176</v>
      </c>
      <c r="L72" s="23">
        <f>ROUND(I72/fiscal!$AT$18*100,2)</f>
        <v>0.9</v>
      </c>
    </row>
    <row r="73" spans="1:12" x14ac:dyDescent="0.2">
      <c r="A73" s="1" t="s">
        <v>170</v>
      </c>
      <c r="B73" s="1" t="s">
        <v>172</v>
      </c>
      <c r="C73" s="1">
        <v>2016</v>
      </c>
      <c r="D73" s="1" t="s">
        <v>281</v>
      </c>
      <c r="E73" s="1" t="s">
        <v>615</v>
      </c>
      <c r="F73" s="1" t="s">
        <v>295</v>
      </c>
      <c r="G73" s="1">
        <v>2015</v>
      </c>
      <c r="H73" s="23" t="s">
        <v>176</v>
      </c>
      <c r="I73" s="1">
        <v>33866</v>
      </c>
      <c r="J73" s="1" t="s">
        <v>641</v>
      </c>
      <c r="K73" s="23" t="s">
        <v>176</v>
      </c>
      <c r="L73" s="23">
        <f>ROUND(I73/fiscal!$AT$18*100,2)</f>
        <v>0.37</v>
      </c>
    </row>
    <row r="74" spans="1:12" x14ac:dyDescent="0.2">
      <c r="A74" s="1" t="s">
        <v>170</v>
      </c>
      <c r="B74" s="1" t="s">
        <v>172</v>
      </c>
      <c r="C74" s="1">
        <v>2016</v>
      </c>
      <c r="D74" s="1" t="s">
        <v>281</v>
      </c>
      <c r="E74" s="1" t="s">
        <v>518</v>
      </c>
      <c r="F74" s="1" t="s">
        <v>228</v>
      </c>
      <c r="G74" s="1">
        <v>2015</v>
      </c>
      <c r="H74" s="23" t="s">
        <v>176</v>
      </c>
      <c r="I74" s="1">
        <v>32662</v>
      </c>
      <c r="J74" s="1" t="s">
        <v>641</v>
      </c>
      <c r="K74" s="23" t="s">
        <v>176</v>
      </c>
      <c r="L74" s="23">
        <f>ROUND(I74/fiscal!$AT$18*100,2)</f>
        <v>0.36</v>
      </c>
    </row>
    <row r="75" spans="1:12" x14ac:dyDescent="0.2">
      <c r="A75" s="1" t="s">
        <v>170</v>
      </c>
      <c r="B75" s="1" t="s">
        <v>172</v>
      </c>
      <c r="C75" s="1">
        <v>2016</v>
      </c>
      <c r="D75" s="1" t="s">
        <v>281</v>
      </c>
      <c r="E75" s="1" t="s">
        <v>614</v>
      </c>
      <c r="F75" s="1" t="s">
        <v>295</v>
      </c>
      <c r="G75" s="1">
        <v>2015</v>
      </c>
      <c r="H75" s="23" t="s">
        <v>176</v>
      </c>
      <c r="I75" s="1">
        <v>29966</v>
      </c>
      <c r="J75" s="1" t="s">
        <v>641</v>
      </c>
      <c r="K75" s="23" t="s">
        <v>176</v>
      </c>
      <c r="L75" s="23">
        <f>ROUND(I75/fiscal!$AT$18*100,2)</f>
        <v>0.33</v>
      </c>
    </row>
    <row r="76" spans="1:12" x14ac:dyDescent="0.2">
      <c r="A76" s="1" t="s">
        <v>170</v>
      </c>
      <c r="B76" s="1" t="s">
        <v>172</v>
      </c>
      <c r="C76" s="1">
        <v>2016</v>
      </c>
      <c r="D76" s="1" t="s">
        <v>281</v>
      </c>
      <c r="E76" s="1" t="s">
        <v>618</v>
      </c>
      <c r="F76" s="1" t="s">
        <v>295</v>
      </c>
      <c r="G76" s="1">
        <v>2015</v>
      </c>
      <c r="H76" s="23" t="s">
        <v>176</v>
      </c>
      <c r="I76" s="1">
        <v>29606</v>
      </c>
      <c r="J76" s="1" t="s">
        <v>641</v>
      </c>
      <c r="K76" s="23" t="s">
        <v>176</v>
      </c>
      <c r="L76" s="23">
        <f>ROUND(I76/fiscal!$AT$18*100,2)</f>
        <v>0.32</v>
      </c>
    </row>
    <row r="77" spans="1:12" x14ac:dyDescent="0.2">
      <c r="A77" s="1" t="s">
        <v>170</v>
      </c>
      <c r="B77" s="1" t="s">
        <v>172</v>
      </c>
      <c r="C77" s="1">
        <v>2016</v>
      </c>
      <c r="D77" s="1" t="s">
        <v>281</v>
      </c>
      <c r="E77" s="1" t="s">
        <v>616</v>
      </c>
      <c r="F77" s="1" t="s">
        <v>617</v>
      </c>
      <c r="G77" s="1">
        <v>2015</v>
      </c>
      <c r="H77" s="23" t="s">
        <v>176</v>
      </c>
      <c r="I77" s="1">
        <v>28304</v>
      </c>
      <c r="J77" s="1" t="s">
        <v>641</v>
      </c>
      <c r="K77" s="23" t="s">
        <v>176</v>
      </c>
      <c r="L77" s="23">
        <f>ROUND(I77/fiscal!$AT$18*100,2)</f>
        <v>0.31</v>
      </c>
    </row>
    <row r="78" spans="1:12" x14ac:dyDescent="0.2">
      <c r="A78" s="1" t="s">
        <v>170</v>
      </c>
      <c r="B78" s="1" t="s">
        <v>172</v>
      </c>
      <c r="C78" s="1">
        <v>2016</v>
      </c>
      <c r="D78" s="1" t="s">
        <v>281</v>
      </c>
      <c r="E78" s="1" t="s">
        <v>613</v>
      </c>
      <c r="F78" s="1" t="s">
        <v>687</v>
      </c>
      <c r="G78" s="1">
        <v>2015</v>
      </c>
      <c r="H78" s="23" t="s">
        <v>176</v>
      </c>
      <c r="I78" s="1">
        <v>27267</v>
      </c>
      <c r="J78" s="1" t="s">
        <v>641</v>
      </c>
      <c r="K78" s="23" t="s">
        <v>176</v>
      </c>
      <c r="L78" s="23">
        <f>ROUND(I78/fiscal!$AT$18*100,2)</f>
        <v>0.3</v>
      </c>
    </row>
    <row r="79" spans="1:12" x14ac:dyDescent="0.2">
      <c r="A79" s="1" t="s">
        <v>170</v>
      </c>
      <c r="B79" s="1" t="s">
        <v>172</v>
      </c>
      <c r="C79" s="1">
        <v>2016</v>
      </c>
      <c r="D79" s="1" t="s">
        <v>281</v>
      </c>
      <c r="E79" s="1" t="s">
        <v>688</v>
      </c>
      <c r="F79" s="1" t="s">
        <v>612</v>
      </c>
      <c r="G79" s="1">
        <v>2015</v>
      </c>
      <c r="H79" s="23" t="s">
        <v>176</v>
      </c>
      <c r="I79" s="1">
        <v>26637</v>
      </c>
      <c r="J79" s="1" t="s">
        <v>641</v>
      </c>
      <c r="K79" s="23" t="s">
        <v>176</v>
      </c>
      <c r="L79" s="23">
        <f>ROUND(I79/fiscal!$AT$18*100,2)</f>
        <v>0.28999999999999998</v>
      </c>
    </row>
    <row r="80" spans="1:12" x14ac:dyDescent="0.2">
      <c r="A80" s="1" t="s">
        <v>170</v>
      </c>
      <c r="B80" s="1" t="s">
        <v>172</v>
      </c>
      <c r="C80" s="1">
        <v>2016</v>
      </c>
      <c r="D80" s="1" t="s">
        <v>281</v>
      </c>
      <c r="E80" s="1" t="s">
        <v>620</v>
      </c>
      <c r="F80" s="1" t="s">
        <v>623</v>
      </c>
      <c r="G80" s="1">
        <v>2015</v>
      </c>
      <c r="H80" s="23" t="s">
        <v>176</v>
      </c>
      <c r="I80" s="1">
        <v>22080</v>
      </c>
      <c r="J80" s="1" t="s">
        <v>641</v>
      </c>
      <c r="K80" s="23" t="s">
        <v>176</v>
      </c>
      <c r="L80" s="23">
        <f>ROUND(I80/fiscal!$AT$18*100,2)</f>
        <v>0.24</v>
      </c>
    </row>
    <row r="81" spans="1:12" x14ac:dyDescent="0.2">
      <c r="A81" s="1" t="s">
        <v>170</v>
      </c>
      <c r="B81" s="1" t="s">
        <v>172</v>
      </c>
      <c r="C81" s="1">
        <v>2016</v>
      </c>
      <c r="D81" s="1" t="s">
        <v>281</v>
      </c>
      <c r="E81" s="1" t="s">
        <v>689</v>
      </c>
      <c r="F81" s="1" t="s">
        <v>612</v>
      </c>
      <c r="G81" s="1">
        <v>2015</v>
      </c>
      <c r="H81" s="23" t="s">
        <v>176</v>
      </c>
      <c r="I81" s="1">
        <v>18003</v>
      </c>
      <c r="J81" s="1" t="s">
        <v>641</v>
      </c>
      <c r="K81" s="23" t="s">
        <v>176</v>
      </c>
      <c r="L81" s="23">
        <f>ROUND(I81/fiscal!$AT$18*100,2)</f>
        <v>0.2</v>
      </c>
    </row>
    <row r="82" spans="1:12" x14ac:dyDescent="0.2">
      <c r="A82" s="1" t="s">
        <v>170</v>
      </c>
      <c r="B82" s="1" t="s">
        <v>172</v>
      </c>
      <c r="C82" s="1">
        <v>2016</v>
      </c>
      <c r="D82" s="1" t="s">
        <v>281</v>
      </c>
      <c r="E82" s="1" t="s">
        <v>303</v>
      </c>
      <c r="F82" s="1" t="s">
        <v>295</v>
      </c>
      <c r="G82" s="1">
        <v>2015</v>
      </c>
      <c r="H82" s="23" t="s">
        <v>176</v>
      </c>
      <c r="I82" s="1">
        <v>17782</v>
      </c>
      <c r="J82" s="1" t="s">
        <v>641</v>
      </c>
      <c r="K82" s="23" t="s">
        <v>176</v>
      </c>
      <c r="L82" s="23">
        <f>ROUND(I82/fiscal!$AT$18*100,2)</f>
        <v>0.19</v>
      </c>
    </row>
    <row r="83" spans="1:12" x14ac:dyDescent="0.2">
      <c r="A83" s="1" t="s">
        <v>170</v>
      </c>
      <c r="B83" s="1" t="s">
        <v>172</v>
      </c>
      <c r="C83" s="1">
        <v>2016</v>
      </c>
      <c r="D83" s="1" t="s">
        <v>281</v>
      </c>
      <c r="E83" s="1" t="s">
        <v>690</v>
      </c>
      <c r="F83" s="1" t="s">
        <v>295</v>
      </c>
      <c r="G83" s="1">
        <v>2015</v>
      </c>
      <c r="H83" s="23" t="s">
        <v>176</v>
      </c>
      <c r="I83" s="1">
        <v>17676</v>
      </c>
      <c r="J83" s="1" t="s">
        <v>641</v>
      </c>
      <c r="K83" s="23" t="s">
        <v>176</v>
      </c>
      <c r="L83" s="23">
        <f>ROUND(I83/fiscal!$AT$18*100,2)</f>
        <v>0.19</v>
      </c>
    </row>
    <row r="84" spans="1:12" x14ac:dyDescent="0.2">
      <c r="A84" s="1" t="s">
        <v>170</v>
      </c>
      <c r="B84" s="1" t="s">
        <v>172</v>
      </c>
      <c r="C84" s="1">
        <v>2016</v>
      </c>
      <c r="D84" s="1" t="s">
        <v>281</v>
      </c>
      <c r="E84" s="1" t="s">
        <v>624</v>
      </c>
      <c r="F84" s="1" t="s">
        <v>623</v>
      </c>
      <c r="G84" s="1">
        <v>2015</v>
      </c>
      <c r="H84" s="23" t="s">
        <v>176</v>
      </c>
      <c r="I84" s="1">
        <v>17464</v>
      </c>
      <c r="J84" s="1" t="s">
        <v>641</v>
      </c>
      <c r="K84" s="23" t="s">
        <v>176</v>
      </c>
      <c r="L84" s="23">
        <f>ROUND(I84/fiscal!$AT$18*100,2)</f>
        <v>0.19</v>
      </c>
    </row>
    <row r="85" spans="1:12" x14ac:dyDescent="0.2">
      <c r="A85" s="1" t="s">
        <v>170</v>
      </c>
      <c r="B85" s="1" t="s">
        <v>172</v>
      </c>
      <c r="C85" s="1">
        <v>2016</v>
      </c>
      <c r="D85" s="1" t="s">
        <v>281</v>
      </c>
      <c r="E85" s="1" t="s">
        <v>621</v>
      </c>
      <c r="F85" s="1" t="s">
        <v>628</v>
      </c>
      <c r="G85" s="1">
        <v>2015</v>
      </c>
      <c r="H85" s="23" t="s">
        <v>176</v>
      </c>
      <c r="I85" s="1">
        <v>12928</v>
      </c>
      <c r="J85" s="1" t="s">
        <v>641</v>
      </c>
      <c r="K85" s="23" t="s">
        <v>176</v>
      </c>
      <c r="L85" s="23">
        <f>ROUND(I85/fiscal!$AT$18*100,2)</f>
        <v>0.14000000000000001</v>
      </c>
    </row>
    <row r="86" spans="1:12" x14ac:dyDescent="0.2">
      <c r="A86" s="1" t="s">
        <v>170</v>
      </c>
      <c r="B86" s="1" t="s">
        <v>172</v>
      </c>
      <c r="C86" s="1">
        <v>2016</v>
      </c>
      <c r="D86" s="1" t="s">
        <v>281</v>
      </c>
      <c r="E86" s="1" t="s">
        <v>219</v>
      </c>
      <c r="F86" s="1" t="s">
        <v>219</v>
      </c>
      <c r="G86" s="1">
        <v>2015</v>
      </c>
      <c r="H86" s="23" t="s">
        <v>176</v>
      </c>
      <c r="I86" s="1">
        <v>491684</v>
      </c>
      <c r="J86" s="1" t="s">
        <v>641</v>
      </c>
      <c r="K86" s="23" t="s">
        <v>176</v>
      </c>
      <c r="L86" s="23">
        <f>ROUND(I86/fiscal!$AT$18*100,2)</f>
        <v>5.39</v>
      </c>
    </row>
    <row r="87" spans="1:12" x14ac:dyDescent="0.2">
      <c r="A87" s="1" t="s">
        <v>170</v>
      </c>
      <c r="B87" s="1" t="s">
        <v>172</v>
      </c>
      <c r="C87" s="1" t="s">
        <v>176</v>
      </c>
      <c r="D87" s="1" t="s">
        <v>281</v>
      </c>
      <c r="E87" s="1" t="s">
        <v>519</v>
      </c>
      <c r="F87" s="1" t="s">
        <v>520</v>
      </c>
      <c r="G87" s="1">
        <v>2016</v>
      </c>
      <c r="H87" s="23" t="s">
        <v>176</v>
      </c>
      <c r="I87" s="1">
        <v>104074</v>
      </c>
      <c r="J87" s="1" t="s">
        <v>641</v>
      </c>
      <c r="K87" s="23" t="s">
        <v>176</v>
      </c>
      <c r="L87" s="23">
        <f>ROUND(I87/fiscal!$AU$18*100,2)</f>
        <v>1.1399999999999999</v>
      </c>
    </row>
    <row r="88" spans="1:12" x14ac:dyDescent="0.2">
      <c r="A88" s="1" t="s">
        <v>170</v>
      </c>
      <c r="B88" s="1" t="s">
        <v>172</v>
      </c>
      <c r="C88" s="1" t="s">
        <v>176</v>
      </c>
      <c r="D88" s="1" t="s">
        <v>281</v>
      </c>
      <c r="E88" s="1" t="s">
        <v>611</v>
      </c>
      <c r="F88" s="1" t="s">
        <v>612</v>
      </c>
      <c r="G88" s="1">
        <v>2016</v>
      </c>
      <c r="H88" s="23" t="s">
        <v>176</v>
      </c>
      <c r="I88" s="1">
        <v>84020</v>
      </c>
      <c r="J88" s="1" t="s">
        <v>641</v>
      </c>
      <c r="K88" s="23" t="s">
        <v>176</v>
      </c>
      <c r="L88" s="23">
        <f>ROUND(I88/fiscal!$AU$18*100,2)</f>
        <v>0.92</v>
      </c>
    </row>
    <row r="89" spans="1:12" x14ac:dyDescent="0.2">
      <c r="A89" s="1" t="s">
        <v>170</v>
      </c>
      <c r="B89" s="1" t="s">
        <v>172</v>
      </c>
      <c r="C89" s="1" t="s">
        <v>176</v>
      </c>
      <c r="D89" s="1" t="s">
        <v>281</v>
      </c>
      <c r="E89" s="1" t="s">
        <v>518</v>
      </c>
      <c r="F89" s="1" t="s">
        <v>228</v>
      </c>
      <c r="G89" s="1">
        <v>2016</v>
      </c>
      <c r="H89" s="23" t="s">
        <v>176</v>
      </c>
      <c r="I89" s="1">
        <v>32707</v>
      </c>
      <c r="J89" s="1" t="s">
        <v>641</v>
      </c>
      <c r="K89" s="23" t="s">
        <v>176</v>
      </c>
      <c r="L89" s="23">
        <f>ROUND(I89/fiscal!$AU$18*100,2)</f>
        <v>0.36</v>
      </c>
    </row>
    <row r="90" spans="1:12" x14ac:dyDescent="0.2">
      <c r="A90" s="1" t="s">
        <v>170</v>
      </c>
      <c r="B90" s="1" t="s">
        <v>172</v>
      </c>
      <c r="C90" s="1" t="s">
        <v>176</v>
      </c>
      <c r="D90" s="1" t="s">
        <v>281</v>
      </c>
      <c r="E90" s="1" t="s">
        <v>614</v>
      </c>
      <c r="F90" s="1" t="s">
        <v>295</v>
      </c>
      <c r="G90" s="1">
        <v>2016</v>
      </c>
      <c r="H90" s="23" t="s">
        <v>176</v>
      </c>
      <c r="I90" s="1">
        <v>31196</v>
      </c>
      <c r="J90" s="1" t="s">
        <v>641</v>
      </c>
      <c r="K90" s="23" t="s">
        <v>176</v>
      </c>
      <c r="L90" s="23">
        <f>ROUND(I90/fiscal!$AU$18*100,2)</f>
        <v>0.34</v>
      </c>
    </row>
    <row r="91" spans="1:12" x14ac:dyDescent="0.2">
      <c r="A91" s="1" t="s">
        <v>170</v>
      </c>
      <c r="B91" s="1" t="s">
        <v>172</v>
      </c>
      <c r="C91" s="1" t="s">
        <v>176</v>
      </c>
      <c r="D91" s="1" t="s">
        <v>281</v>
      </c>
      <c r="E91" s="1" t="s">
        <v>688</v>
      </c>
      <c r="F91" s="1" t="s">
        <v>612</v>
      </c>
      <c r="G91" s="1">
        <v>2016</v>
      </c>
      <c r="H91" s="23" t="s">
        <v>176</v>
      </c>
      <c r="I91" s="1">
        <v>29475</v>
      </c>
      <c r="J91" s="1" t="s">
        <v>641</v>
      </c>
      <c r="K91" s="23" t="s">
        <v>176</v>
      </c>
      <c r="L91" s="23">
        <f>ROUND(I91/fiscal!$AU$18*100,2)</f>
        <v>0.32</v>
      </c>
    </row>
    <row r="92" spans="1:12" x14ac:dyDescent="0.2">
      <c r="A92" s="1" t="s">
        <v>170</v>
      </c>
      <c r="B92" s="1" t="s">
        <v>172</v>
      </c>
      <c r="C92" s="1" t="s">
        <v>176</v>
      </c>
      <c r="D92" s="1" t="s">
        <v>281</v>
      </c>
      <c r="E92" s="1" t="s">
        <v>618</v>
      </c>
      <c r="F92" s="1" t="s">
        <v>295</v>
      </c>
      <c r="G92" s="1">
        <v>2016</v>
      </c>
      <c r="H92" s="23" t="s">
        <v>176</v>
      </c>
      <c r="I92" s="1">
        <v>29228</v>
      </c>
      <c r="J92" s="1" t="s">
        <v>641</v>
      </c>
      <c r="K92" s="23" t="s">
        <v>176</v>
      </c>
      <c r="L92" s="23">
        <f>ROUND(I92/fiscal!$AU$18*100,2)</f>
        <v>0.32</v>
      </c>
    </row>
    <row r="93" spans="1:12" x14ac:dyDescent="0.2">
      <c r="A93" s="1" t="s">
        <v>170</v>
      </c>
      <c r="B93" s="1" t="s">
        <v>172</v>
      </c>
      <c r="C93" s="1" t="s">
        <v>176</v>
      </c>
      <c r="D93" s="1" t="s">
        <v>281</v>
      </c>
      <c r="E93" s="1" t="s">
        <v>616</v>
      </c>
      <c r="F93" s="1" t="s">
        <v>617</v>
      </c>
      <c r="G93" s="1">
        <v>2016</v>
      </c>
      <c r="H93" s="23" t="s">
        <v>176</v>
      </c>
      <c r="I93" s="1">
        <v>27318</v>
      </c>
      <c r="J93" s="1" t="s">
        <v>641</v>
      </c>
      <c r="K93" s="23" t="s">
        <v>176</v>
      </c>
      <c r="L93" s="23">
        <f>ROUND(I93/fiscal!$AU$18*100,2)</f>
        <v>0.3</v>
      </c>
    </row>
    <row r="94" spans="1:12" x14ac:dyDescent="0.2">
      <c r="A94" s="1" t="s">
        <v>170</v>
      </c>
      <c r="B94" s="1" t="s">
        <v>172</v>
      </c>
      <c r="C94" s="1" t="s">
        <v>176</v>
      </c>
      <c r="D94" s="1" t="s">
        <v>281</v>
      </c>
      <c r="E94" s="1" t="s">
        <v>613</v>
      </c>
      <c r="F94" s="1" t="s">
        <v>687</v>
      </c>
      <c r="G94" s="1">
        <v>2016</v>
      </c>
      <c r="H94" s="23" t="s">
        <v>176</v>
      </c>
      <c r="I94" s="1">
        <v>26723</v>
      </c>
      <c r="J94" s="1" t="s">
        <v>641</v>
      </c>
      <c r="K94" s="23" t="s">
        <v>176</v>
      </c>
      <c r="L94" s="23">
        <f>ROUND(I94/fiscal!$AU$18*100,2)</f>
        <v>0.28999999999999998</v>
      </c>
    </row>
    <row r="95" spans="1:12" x14ac:dyDescent="0.2">
      <c r="A95" s="1" t="s">
        <v>170</v>
      </c>
      <c r="B95" s="1" t="s">
        <v>172</v>
      </c>
      <c r="C95" s="1" t="s">
        <v>176</v>
      </c>
      <c r="D95" s="1" t="s">
        <v>281</v>
      </c>
      <c r="E95" s="1" t="s">
        <v>624</v>
      </c>
      <c r="F95" s="1" t="s">
        <v>623</v>
      </c>
      <c r="G95" s="1">
        <v>2016</v>
      </c>
      <c r="H95" s="23" t="s">
        <v>176</v>
      </c>
      <c r="I95" s="1">
        <v>18868</v>
      </c>
      <c r="J95" s="1" t="s">
        <v>641</v>
      </c>
      <c r="K95" s="23" t="s">
        <v>176</v>
      </c>
      <c r="L95" s="23">
        <f>ROUND(I95/fiscal!$AU$18*100,2)</f>
        <v>0.21</v>
      </c>
    </row>
    <row r="96" spans="1:12" x14ac:dyDescent="0.2">
      <c r="A96" s="1" t="s">
        <v>170</v>
      </c>
      <c r="B96" s="1" t="s">
        <v>172</v>
      </c>
      <c r="C96" s="1" t="s">
        <v>176</v>
      </c>
      <c r="D96" s="1" t="s">
        <v>281</v>
      </c>
      <c r="E96" s="1" t="s">
        <v>615</v>
      </c>
      <c r="F96" s="1" t="s">
        <v>295</v>
      </c>
      <c r="G96" s="1">
        <v>2016</v>
      </c>
      <c r="H96" s="23" t="s">
        <v>176</v>
      </c>
      <c r="I96" s="1">
        <v>18796</v>
      </c>
      <c r="J96" s="1" t="s">
        <v>641</v>
      </c>
      <c r="K96" s="23" t="s">
        <v>176</v>
      </c>
      <c r="L96" s="23">
        <f>ROUND(I96/fiscal!$AU$18*100,2)</f>
        <v>0.21</v>
      </c>
    </row>
    <row r="97" spans="1:12" x14ac:dyDescent="0.2">
      <c r="A97" s="1" t="s">
        <v>170</v>
      </c>
      <c r="B97" s="1" t="s">
        <v>172</v>
      </c>
      <c r="C97" s="1" t="s">
        <v>176</v>
      </c>
      <c r="D97" s="1" t="s">
        <v>281</v>
      </c>
      <c r="E97" s="1" t="s">
        <v>303</v>
      </c>
      <c r="F97" s="1" t="s">
        <v>295</v>
      </c>
      <c r="G97" s="1">
        <v>2016</v>
      </c>
      <c r="H97" s="23" t="s">
        <v>176</v>
      </c>
      <c r="I97" s="1">
        <v>17966</v>
      </c>
      <c r="J97" s="1" t="s">
        <v>641</v>
      </c>
      <c r="K97" s="23" t="s">
        <v>176</v>
      </c>
      <c r="L97" s="23">
        <f>ROUND(I97/fiscal!$AU$18*100,2)</f>
        <v>0.2</v>
      </c>
    </row>
    <row r="98" spans="1:12" x14ac:dyDescent="0.2">
      <c r="A98" s="1" t="s">
        <v>170</v>
      </c>
      <c r="B98" s="1" t="s">
        <v>172</v>
      </c>
      <c r="C98" s="1" t="s">
        <v>176</v>
      </c>
      <c r="D98" s="1" t="s">
        <v>281</v>
      </c>
      <c r="E98" s="1" t="s">
        <v>620</v>
      </c>
      <c r="F98" s="1" t="s">
        <v>623</v>
      </c>
      <c r="G98" s="1">
        <v>2016</v>
      </c>
      <c r="H98" s="23" t="s">
        <v>176</v>
      </c>
      <c r="I98" s="1">
        <v>16846</v>
      </c>
      <c r="J98" s="1" t="s">
        <v>641</v>
      </c>
      <c r="K98" s="23" t="s">
        <v>176</v>
      </c>
      <c r="L98" s="23">
        <f>ROUND(I98/fiscal!$AU$18*100,2)</f>
        <v>0.18</v>
      </c>
    </row>
    <row r="99" spans="1:12" x14ac:dyDescent="0.2">
      <c r="A99" s="1" t="s">
        <v>170</v>
      </c>
      <c r="B99" s="1" t="s">
        <v>172</v>
      </c>
      <c r="C99" s="1" t="s">
        <v>176</v>
      </c>
      <c r="D99" s="1" t="s">
        <v>281</v>
      </c>
      <c r="E99" s="1" t="s">
        <v>690</v>
      </c>
      <c r="F99" s="1" t="s">
        <v>295</v>
      </c>
      <c r="G99" s="1">
        <v>2016</v>
      </c>
      <c r="H99" s="23" t="s">
        <v>176</v>
      </c>
      <c r="I99" s="1">
        <v>14562</v>
      </c>
      <c r="J99" s="1" t="s">
        <v>641</v>
      </c>
      <c r="K99" s="23" t="s">
        <v>176</v>
      </c>
      <c r="L99" s="23">
        <f>ROUND(I99/fiscal!$AU$18*100,2)</f>
        <v>0.16</v>
      </c>
    </row>
    <row r="100" spans="1:12" x14ac:dyDescent="0.2">
      <c r="A100" s="1" t="s">
        <v>170</v>
      </c>
      <c r="B100" s="1" t="s">
        <v>172</v>
      </c>
      <c r="C100" s="1" t="s">
        <v>176</v>
      </c>
      <c r="D100" s="1" t="s">
        <v>281</v>
      </c>
      <c r="E100" s="1" t="s">
        <v>622</v>
      </c>
      <c r="F100" s="1" t="s">
        <v>623</v>
      </c>
      <c r="G100" s="1">
        <v>2016</v>
      </c>
      <c r="H100" s="23" t="s">
        <v>176</v>
      </c>
      <c r="I100" s="1">
        <v>13712</v>
      </c>
      <c r="J100" s="1" t="s">
        <v>641</v>
      </c>
      <c r="K100" s="23" t="s">
        <v>176</v>
      </c>
      <c r="L100" s="23">
        <f>ROUND(I100/fiscal!$AU$18*100,2)</f>
        <v>0.15</v>
      </c>
    </row>
    <row r="101" spans="1:12" x14ac:dyDescent="0.2">
      <c r="A101" s="1" t="s">
        <v>170</v>
      </c>
      <c r="B101" s="1" t="s">
        <v>172</v>
      </c>
      <c r="C101" s="1" t="s">
        <v>176</v>
      </c>
      <c r="D101" s="1" t="s">
        <v>281</v>
      </c>
      <c r="E101" s="1" t="s">
        <v>621</v>
      </c>
      <c r="F101" s="1" t="s">
        <v>628</v>
      </c>
      <c r="G101" s="1">
        <v>2016</v>
      </c>
      <c r="H101" s="23" t="s">
        <v>176</v>
      </c>
      <c r="I101" s="1">
        <v>13147</v>
      </c>
      <c r="J101" s="1" t="s">
        <v>641</v>
      </c>
      <c r="K101" s="23" t="s">
        <v>176</v>
      </c>
      <c r="L101" s="23">
        <f>ROUND(I101/fiscal!$AU$18*100,2)</f>
        <v>0.14000000000000001</v>
      </c>
    </row>
    <row r="102" spans="1:12" x14ac:dyDescent="0.2">
      <c r="A102" s="1" t="s">
        <v>170</v>
      </c>
      <c r="B102" s="1" t="s">
        <v>172</v>
      </c>
      <c r="C102" s="1" t="s">
        <v>176</v>
      </c>
      <c r="D102" s="1" t="s">
        <v>281</v>
      </c>
      <c r="E102" s="1" t="s">
        <v>219</v>
      </c>
      <c r="F102" s="1" t="s">
        <v>219</v>
      </c>
      <c r="G102" s="1">
        <v>2016</v>
      </c>
      <c r="H102" s="23" t="s">
        <v>176</v>
      </c>
      <c r="I102" s="1">
        <v>478637</v>
      </c>
      <c r="J102" s="1" t="s">
        <v>641</v>
      </c>
      <c r="K102" s="23" t="s">
        <v>176</v>
      </c>
      <c r="L102" s="23">
        <f>ROUND(I102/fiscal!$AU$18*100,2)</f>
        <v>5.24</v>
      </c>
    </row>
    <row r="103" spans="1:12" x14ac:dyDescent="0.2">
      <c r="A103" s="1" t="s">
        <v>170</v>
      </c>
      <c r="B103" s="1" t="s">
        <v>172</v>
      </c>
      <c r="C103" s="1" t="s">
        <v>176</v>
      </c>
      <c r="D103" s="1" t="s">
        <v>281</v>
      </c>
      <c r="E103" s="1" t="s">
        <v>519</v>
      </c>
      <c r="F103" s="1" t="s">
        <v>520</v>
      </c>
      <c r="G103" s="1">
        <v>2017</v>
      </c>
      <c r="H103" s="23" t="s">
        <v>176</v>
      </c>
      <c r="I103" s="1">
        <v>105053</v>
      </c>
      <c r="J103" s="1" t="s">
        <v>641</v>
      </c>
      <c r="K103" s="23" t="s">
        <v>176</v>
      </c>
      <c r="L103" s="23" t="s">
        <v>176</v>
      </c>
    </row>
    <row r="104" spans="1:12" x14ac:dyDescent="0.2">
      <c r="A104" s="1" t="s">
        <v>170</v>
      </c>
      <c r="B104" s="1" t="s">
        <v>172</v>
      </c>
      <c r="C104" s="1" t="s">
        <v>176</v>
      </c>
      <c r="D104" s="1" t="s">
        <v>281</v>
      </c>
      <c r="E104" s="1" t="s">
        <v>611</v>
      </c>
      <c r="F104" s="1" t="s">
        <v>612</v>
      </c>
      <c r="G104" s="1">
        <v>2017</v>
      </c>
      <c r="H104" s="23" t="s">
        <v>176</v>
      </c>
      <c r="I104" s="1">
        <v>80091</v>
      </c>
      <c r="J104" s="1" t="s">
        <v>641</v>
      </c>
      <c r="K104" s="23" t="s">
        <v>176</v>
      </c>
      <c r="L104" s="23" t="s">
        <v>176</v>
      </c>
    </row>
    <row r="105" spans="1:12" x14ac:dyDescent="0.2">
      <c r="A105" s="1" t="s">
        <v>170</v>
      </c>
      <c r="B105" s="1" t="s">
        <v>172</v>
      </c>
      <c r="C105" s="1" t="s">
        <v>176</v>
      </c>
      <c r="D105" s="1" t="s">
        <v>281</v>
      </c>
      <c r="E105" s="1" t="s">
        <v>688</v>
      </c>
      <c r="F105" s="1" t="s">
        <v>612</v>
      </c>
      <c r="G105" s="1">
        <v>2017</v>
      </c>
      <c r="H105" s="23" t="s">
        <v>176</v>
      </c>
      <c r="I105" s="1">
        <v>39665</v>
      </c>
      <c r="J105" s="1" t="s">
        <v>641</v>
      </c>
      <c r="K105" s="23" t="s">
        <v>176</v>
      </c>
      <c r="L105" s="23" t="s">
        <v>176</v>
      </c>
    </row>
    <row r="106" spans="1:12" x14ac:dyDescent="0.2">
      <c r="A106" s="1" t="s">
        <v>170</v>
      </c>
      <c r="B106" s="1" t="s">
        <v>172</v>
      </c>
      <c r="C106" s="1" t="s">
        <v>176</v>
      </c>
      <c r="D106" s="1" t="s">
        <v>281</v>
      </c>
      <c r="E106" s="1" t="s">
        <v>518</v>
      </c>
      <c r="F106" s="1" t="s">
        <v>228</v>
      </c>
      <c r="G106" s="1">
        <v>2017</v>
      </c>
      <c r="H106" s="23" t="s">
        <v>176</v>
      </c>
      <c r="I106" s="1">
        <v>36770</v>
      </c>
      <c r="J106" s="1" t="s">
        <v>641</v>
      </c>
      <c r="K106" s="23" t="s">
        <v>176</v>
      </c>
      <c r="L106" s="23" t="s">
        <v>176</v>
      </c>
    </row>
    <row r="107" spans="1:12" x14ac:dyDescent="0.2">
      <c r="A107" s="1" t="s">
        <v>170</v>
      </c>
      <c r="B107" s="1" t="s">
        <v>172</v>
      </c>
      <c r="C107" s="1" t="s">
        <v>176</v>
      </c>
      <c r="D107" s="1" t="s">
        <v>281</v>
      </c>
      <c r="E107" s="1" t="s">
        <v>614</v>
      </c>
      <c r="F107" s="1" t="s">
        <v>295</v>
      </c>
      <c r="G107" s="1">
        <v>2017</v>
      </c>
      <c r="H107" s="23" t="s">
        <v>176</v>
      </c>
      <c r="I107" s="1">
        <v>32469</v>
      </c>
      <c r="J107" s="1" t="s">
        <v>641</v>
      </c>
      <c r="K107" s="23" t="s">
        <v>176</v>
      </c>
      <c r="L107" s="23" t="s">
        <v>176</v>
      </c>
    </row>
    <row r="108" spans="1:12" x14ac:dyDescent="0.2">
      <c r="A108" s="1" t="s">
        <v>170</v>
      </c>
      <c r="B108" s="1" t="s">
        <v>172</v>
      </c>
      <c r="C108" s="1" t="s">
        <v>176</v>
      </c>
      <c r="D108" s="1" t="s">
        <v>281</v>
      </c>
      <c r="E108" s="1" t="s">
        <v>618</v>
      </c>
      <c r="F108" s="1" t="s">
        <v>295</v>
      </c>
      <c r="G108" s="1">
        <v>2017</v>
      </c>
      <c r="H108" s="23" t="s">
        <v>176</v>
      </c>
      <c r="I108" s="1">
        <v>30320</v>
      </c>
      <c r="J108" s="1" t="s">
        <v>641</v>
      </c>
      <c r="K108" s="23" t="s">
        <v>176</v>
      </c>
      <c r="L108" s="23" t="s">
        <v>176</v>
      </c>
    </row>
    <row r="109" spans="1:12" x14ac:dyDescent="0.2">
      <c r="A109" s="1" t="s">
        <v>170</v>
      </c>
      <c r="B109" s="1" t="s">
        <v>172</v>
      </c>
      <c r="C109" s="1" t="s">
        <v>176</v>
      </c>
      <c r="D109" s="1" t="s">
        <v>281</v>
      </c>
      <c r="E109" s="1" t="s">
        <v>616</v>
      </c>
      <c r="F109" s="1" t="s">
        <v>617</v>
      </c>
      <c r="G109" s="1">
        <v>2017</v>
      </c>
      <c r="H109" s="23" t="s">
        <v>176</v>
      </c>
      <c r="I109" s="1">
        <v>29772</v>
      </c>
      <c r="J109" s="1" t="s">
        <v>641</v>
      </c>
      <c r="K109" s="23" t="s">
        <v>176</v>
      </c>
      <c r="L109" s="23" t="s">
        <v>176</v>
      </c>
    </row>
    <row r="110" spans="1:12" x14ac:dyDescent="0.2">
      <c r="A110" s="1" t="s">
        <v>170</v>
      </c>
      <c r="B110" s="1" t="s">
        <v>172</v>
      </c>
      <c r="C110" s="1" t="s">
        <v>176</v>
      </c>
      <c r="D110" s="1" t="s">
        <v>281</v>
      </c>
      <c r="E110" s="1" t="s">
        <v>613</v>
      </c>
      <c r="F110" s="1" t="s">
        <v>687</v>
      </c>
      <c r="G110" s="1">
        <v>2017</v>
      </c>
      <c r="H110" s="23" t="s">
        <v>176</v>
      </c>
      <c r="I110" s="1">
        <v>27922</v>
      </c>
      <c r="J110" s="1" t="s">
        <v>641</v>
      </c>
      <c r="K110" s="23" t="s">
        <v>176</v>
      </c>
      <c r="L110" s="23" t="s">
        <v>176</v>
      </c>
    </row>
    <row r="111" spans="1:12" x14ac:dyDescent="0.2">
      <c r="A111" s="1" t="s">
        <v>170</v>
      </c>
      <c r="B111" s="1" t="s">
        <v>172</v>
      </c>
      <c r="C111" s="1" t="s">
        <v>176</v>
      </c>
      <c r="D111" s="1" t="s">
        <v>281</v>
      </c>
      <c r="E111" s="1" t="s">
        <v>703</v>
      </c>
      <c r="F111" s="1" t="s">
        <v>628</v>
      </c>
      <c r="G111" s="1">
        <v>2017</v>
      </c>
      <c r="H111" s="23" t="s">
        <v>176</v>
      </c>
      <c r="I111" s="1">
        <v>19388</v>
      </c>
      <c r="J111" s="1" t="s">
        <v>641</v>
      </c>
      <c r="K111" s="23" t="s">
        <v>176</v>
      </c>
      <c r="L111" s="23" t="s">
        <v>176</v>
      </c>
    </row>
    <row r="112" spans="1:12" x14ac:dyDescent="0.2">
      <c r="A112" s="1" t="s">
        <v>170</v>
      </c>
      <c r="B112" s="1" t="s">
        <v>172</v>
      </c>
      <c r="C112" s="1" t="s">
        <v>176</v>
      </c>
      <c r="D112" s="1" t="s">
        <v>281</v>
      </c>
      <c r="E112" s="1" t="s">
        <v>620</v>
      </c>
      <c r="F112" s="1" t="s">
        <v>623</v>
      </c>
      <c r="G112" s="1">
        <v>2017</v>
      </c>
      <c r="H112" s="23" t="s">
        <v>176</v>
      </c>
      <c r="I112" s="1">
        <v>17724</v>
      </c>
      <c r="J112" s="1" t="s">
        <v>641</v>
      </c>
      <c r="K112" s="23" t="s">
        <v>176</v>
      </c>
      <c r="L112" s="23" t="s">
        <v>176</v>
      </c>
    </row>
    <row r="113" spans="1:12" x14ac:dyDescent="0.2">
      <c r="A113" s="1" t="s">
        <v>170</v>
      </c>
      <c r="B113" s="1" t="s">
        <v>172</v>
      </c>
      <c r="C113" s="1" t="s">
        <v>176</v>
      </c>
      <c r="D113" s="1" t="s">
        <v>281</v>
      </c>
      <c r="E113" s="1" t="s">
        <v>303</v>
      </c>
      <c r="F113" s="1" t="s">
        <v>295</v>
      </c>
      <c r="G113" s="1">
        <v>2017</v>
      </c>
      <c r="H113" s="23" t="s">
        <v>176</v>
      </c>
      <c r="I113" s="1">
        <v>17366</v>
      </c>
      <c r="J113" s="1" t="s">
        <v>641</v>
      </c>
      <c r="K113" s="23" t="s">
        <v>176</v>
      </c>
      <c r="L113" s="23" t="s">
        <v>176</v>
      </c>
    </row>
    <row r="114" spans="1:12" x14ac:dyDescent="0.2">
      <c r="A114" s="1" t="s">
        <v>170</v>
      </c>
      <c r="B114" s="1" t="s">
        <v>172</v>
      </c>
      <c r="C114" s="1" t="s">
        <v>176</v>
      </c>
      <c r="D114" s="1" t="s">
        <v>281</v>
      </c>
      <c r="E114" s="1" t="s">
        <v>704</v>
      </c>
      <c r="F114" s="1" t="s">
        <v>176</v>
      </c>
      <c r="G114" s="1">
        <v>2017</v>
      </c>
      <c r="H114" s="23" t="s">
        <v>176</v>
      </c>
      <c r="I114" s="1">
        <v>12831</v>
      </c>
      <c r="J114" s="1" t="s">
        <v>641</v>
      </c>
      <c r="K114" s="23" t="s">
        <v>176</v>
      </c>
      <c r="L114" s="23" t="s">
        <v>176</v>
      </c>
    </row>
    <row r="115" spans="1:12" x14ac:dyDescent="0.2">
      <c r="A115" s="1" t="s">
        <v>170</v>
      </c>
      <c r="B115" s="1" t="s">
        <v>172</v>
      </c>
      <c r="C115" s="1" t="s">
        <v>176</v>
      </c>
      <c r="D115" s="1" t="s">
        <v>281</v>
      </c>
      <c r="E115" s="1" t="s">
        <v>705</v>
      </c>
      <c r="F115" s="1" t="s">
        <v>295</v>
      </c>
      <c r="G115" s="1">
        <v>2017</v>
      </c>
      <c r="H115" s="23" t="s">
        <v>176</v>
      </c>
      <c r="I115" s="1">
        <v>12505</v>
      </c>
      <c r="J115" s="1" t="s">
        <v>641</v>
      </c>
      <c r="K115" s="23" t="s">
        <v>176</v>
      </c>
      <c r="L115" s="23" t="s">
        <v>176</v>
      </c>
    </row>
    <row r="116" spans="1:12" x14ac:dyDescent="0.2">
      <c r="A116" s="1" t="s">
        <v>170</v>
      </c>
      <c r="B116" s="1" t="s">
        <v>172</v>
      </c>
      <c r="C116" s="1" t="s">
        <v>176</v>
      </c>
      <c r="D116" s="1" t="s">
        <v>281</v>
      </c>
      <c r="E116" s="1" t="s">
        <v>706</v>
      </c>
      <c r="F116" s="1" t="s">
        <v>612</v>
      </c>
      <c r="G116" s="1">
        <v>2017</v>
      </c>
      <c r="H116" s="23" t="s">
        <v>176</v>
      </c>
      <c r="I116" s="1">
        <v>11962</v>
      </c>
      <c r="J116" s="1" t="s">
        <v>641</v>
      </c>
      <c r="K116" s="23" t="s">
        <v>176</v>
      </c>
      <c r="L116" s="23" t="s">
        <v>176</v>
      </c>
    </row>
    <row r="117" spans="1:12" x14ac:dyDescent="0.2">
      <c r="A117" s="1" t="s">
        <v>170</v>
      </c>
      <c r="B117" s="1" t="s">
        <v>172</v>
      </c>
      <c r="C117" s="1" t="s">
        <v>176</v>
      </c>
      <c r="D117" s="1" t="s">
        <v>281</v>
      </c>
      <c r="E117" s="1" t="s">
        <v>690</v>
      </c>
      <c r="F117" s="1" t="s">
        <v>295</v>
      </c>
      <c r="G117" s="1">
        <v>2017</v>
      </c>
      <c r="H117" s="23" t="s">
        <v>176</v>
      </c>
      <c r="I117" s="1">
        <v>11943</v>
      </c>
      <c r="J117" s="1" t="s">
        <v>641</v>
      </c>
      <c r="K117" s="23" t="s">
        <v>176</v>
      </c>
      <c r="L117" s="23" t="s">
        <v>176</v>
      </c>
    </row>
    <row r="118" spans="1:12" x14ac:dyDescent="0.2">
      <c r="A118" s="1" t="s">
        <v>170</v>
      </c>
      <c r="B118" s="1" t="s">
        <v>172</v>
      </c>
      <c r="C118" s="1" t="s">
        <v>176</v>
      </c>
      <c r="D118" s="1" t="s">
        <v>281</v>
      </c>
      <c r="E118" s="1" t="s">
        <v>219</v>
      </c>
      <c r="F118" s="1" t="s">
        <v>219</v>
      </c>
      <c r="G118" s="1">
        <v>2017</v>
      </c>
      <c r="H118" s="23" t="s">
        <v>176</v>
      </c>
      <c r="I118" s="1">
        <v>485751</v>
      </c>
      <c r="J118" s="1" t="s">
        <v>641</v>
      </c>
      <c r="K118" s="23" t="s">
        <v>176</v>
      </c>
      <c r="L118" s="23" t="s">
        <v>176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311"/>
  <sheetViews>
    <sheetView workbookViewId="0">
      <pane ySplit="1" topLeftCell="A274" activePane="bottomLeft" state="frozen"/>
      <selection pane="bottomLeft" activeCell="C312" sqref="C312"/>
    </sheetView>
  </sheetViews>
  <sheetFormatPr baseColWidth="10" defaultColWidth="8.83203125" defaultRowHeight="15" x14ac:dyDescent="0.2"/>
  <cols>
    <col min="1" max="1" width="10.1640625" style="1" bestFit="1" customWidth="1"/>
    <col min="2" max="14" width="8.83203125" style="1"/>
    <col min="15" max="15" width="8.83203125" style="21"/>
    <col min="16" max="16384" width="8.83203125" style="1"/>
  </cols>
  <sheetData>
    <row r="1" spans="1:17" x14ac:dyDescent="0.2">
      <c r="A1" s="4" t="s">
        <v>0</v>
      </c>
      <c r="B1" s="4" t="s">
        <v>27</v>
      </c>
      <c r="C1" s="4" t="s">
        <v>2</v>
      </c>
      <c r="D1" s="4" t="s">
        <v>137</v>
      </c>
      <c r="E1" s="4" t="s">
        <v>138</v>
      </c>
      <c r="F1" s="4" t="s">
        <v>24</v>
      </c>
      <c r="G1" s="4" t="s">
        <v>139</v>
      </c>
      <c r="H1" s="4" t="s">
        <v>140</v>
      </c>
      <c r="I1" s="4" t="s">
        <v>141</v>
      </c>
      <c r="J1" s="4" t="s">
        <v>124</v>
      </c>
      <c r="K1" s="4" t="s">
        <v>142</v>
      </c>
      <c r="L1" s="4" t="s">
        <v>168</v>
      </c>
      <c r="M1" s="4" t="s">
        <v>169</v>
      </c>
      <c r="N1" s="4" t="s">
        <v>164</v>
      </c>
      <c r="O1" s="20" t="s">
        <v>143</v>
      </c>
      <c r="P1" s="4" t="s">
        <v>144</v>
      </c>
      <c r="Q1" s="4" t="s">
        <v>85</v>
      </c>
    </row>
    <row r="2" spans="1:17" x14ac:dyDescent="0.2">
      <c r="A2" s="1" t="s">
        <v>170</v>
      </c>
      <c r="B2" s="1" t="s">
        <v>172</v>
      </c>
      <c r="C2" s="1">
        <v>1990</v>
      </c>
      <c r="D2" s="1">
        <v>1990</v>
      </c>
      <c r="E2" s="1">
        <v>1985</v>
      </c>
      <c r="F2" s="1" t="s">
        <v>173</v>
      </c>
      <c r="G2" s="1" t="s">
        <v>244</v>
      </c>
      <c r="H2" s="1" t="s">
        <v>245</v>
      </c>
      <c r="I2" s="1" t="s">
        <v>246</v>
      </c>
      <c r="J2" s="1">
        <v>0.625</v>
      </c>
      <c r="K2" s="1" t="s">
        <v>247</v>
      </c>
      <c r="L2" s="1">
        <v>1700</v>
      </c>
      <c r="M2" s="1" t="s">
        <v>248</v>
      </c>
      <c r="N2" s="1" t="s">
        <v>176</v>
      </c>
      <c r="O2" s="21">
        <v>18.87</v>
      </c>
      <c r="P2" s="1" t="s">
        <v>249</v>
      </c>
    </row>
    <row r="3" spans="1:17" x14ac:dyDescent="0.2">
      <c r="A3" s="1" t="s">
        <v>170</v>
      </c>
      <c r="B3" s="1" t="s">
        <v>172</v>
      </c>
      <c r="C3" s="1">
        <v>1990</v>
      </c>
      <c r="D3" s="1">
        <v>1990</v>
      </c>
      <c r="E3" s="1">
        <v>1985</v>
      </c>
      <c r="F3" s="1" t="s">
        <v>173</v>
      </c>
      <c r="G3" s="1" t="s">
        <v>244</v>
      </c>
      <c r="H3" s="1" t="s">
        <v>245</v>
      </c>
      <c r="I3" s="1" t="s">
        <v>246</v>
      </c>
      <c r="J3" s="1">
        <v>0.75</v>
      </c>
      <c r="K3" s="1" t="s">
        <v>247</v>
      </c>
      <c r="L3" s="1">
        <v>2400</v>
      </c>
      <c r="M3" s="1" t="s">
        <v>248</v>
      </c>
      <c r="N3" s="1" t="s">
        <v>176</v>
      </c>
      <c r="O3" s="21">
        <v>26.64</v>
      </c>
      <c r="P3" s="1" t="s">
        <v>249</v>
      </c>
    </row>
    <row r="4" spans="1:17" x14ac:dyDescent="0.2">
      <c r="A4" s="1" t="s">
        <v>170</v>
      </c>
      <c r="B4" s="1" t="s">
        <v>172</v>
      </c>
      <c r="C4" s="1">
        <v>1990</v>
      </c>
      <c r="D4" s="1">
        <v>1990</v>
      </c>
      <c r="E4" s="1">
        <v>1985</v>
      </c>
      <c r="F4" s="1" t="s">
        <v>173</v>
      </c>
      <c r="G4" s="1" t="s">
        <v>244</v>
      </c>
      <c r="H4" s="1" t="s">
        <v>245</v>
      </c>
      <c r="I4" s="1" t="s">
        <v>246</v>
      </c>
      <c r="J4" s="1">
        <v>1</v>
      </c>
      <c r="K4" s="1" t="s">
        <v>247</v>
      </c>
      <c r="L4" s="1">
        <v>3900</v>
      </c>
      <c r="M4" s="1" t="s">
        <v>248</v>
      </c>
      <c r="N4" s="1" t="s">
        <v>176</v>
      </c>
      <c r="O4" s="21">
        <v>43.29</v>
      </c>
      <c r="P4" s="1" t="s">
        <v>249</v>
      </c>
    </row>
    <row r="5" spans="1:17" x14ac:dyDescent="0.2">
      <c r="A5" s="1" t="s">
        <v>170</v>
      </c>
      <c r="B5" s="1" t="s">
        <v>172</v>
      </c>
      <c r="C5" s="1">
        <v>1990</v>
      </c>
      <c r="D5" s="1">
        <v>1990</v>
      </c>
      <c r="E5" s="1">
        <v>1985</v>
      </c>
      <c r="F5" s="1" t="s">
        <v>173</v>
      </c>
      <c r="G5" s="1" t="s">
        <v>244</v>
      </c>
      <c r="H5" s="1" t="s">
        <v>245</v>
      </c>
      <c r="I5" s="1" t="s">
        <v>246</v>
      </c>
      <c r="J5" s="1">
        <v>1.5</v>
      </c>
      <c r="K5" s="1" t="s">
        <v>247</v>
      </c>
      <c r="L5" s="1">
        <v>8300</v>
      </c>
      <c r="M5" s="1" t="s">
        <v>248</v>
      </c>
      <c r="N5" s="1" t="s">
        <v>176</v>
      </c>
      <c r="O5" s="21">
        <v>73.98</v>
      </c>
      <c r="P5" s="1" t="s">
        <v>249</v>
      </c>
    </row>
    <row r="6" spans="1:17" x14ac:dyDescent="0.2">
      <c r="A6" s="1" t="s">
        <v>170</v>
      </c>
      <c r="B6" s="1" t="s">
        <v>172</v>
      </c>
      <c r="C6" s="1">
        <v>1990</v>
      </c>
      <c r="D6" s="1">
        <v>1990</v>
      </c>
      <c r="E6" s="1">
        <v>1985</v>
      </c>
      <c r="F6" s="1" t="s">
        <v>173</v>
      </c>
      <c r="G6" s="1" t="s">
        <v>244</v>
      </c>
      <c r="H6" s="1" t="s">
        <v>245</v>
      </c>
      <c r="I6" s="1" t="s">
        <v>246</v>
      </c>
      <c r="J6" s="1">
        <v>2</v>
      </c>
      <c r="K6" s="1" t="s">
        <v>247</v>
      </c>
      <c r="L6" s="1">
        <v>12700</v>
      </c>
      <c r="M6" s="1" t="s">
        <v>248</v>
      </c>
      <c r="N6" s="1" t="s">
        <v>176</v>
      </c>
      <c r="O6" s="21">
        <v>98.61</v>
      </c>
      <c r="P6" s="1" t="s">
        <v>249</v>
      </c>
    </row>
    <row r="7" spans="1:17" x14ac:dyDescent="0.2">
      <c r="A7" s="1" t="s">
        <v>170</v>
      </c>
      <c r="B7" s="1" t="s">
        <v>172</v>
      </c>
      <c r="C7" s="1">
        <v>1990</v>
      </c>
      <c r="D7" s="1">
        <v>1990</v>
      </c>
      <c r="E7" s="1">
        <v>1985</v>
      </c>
      <c r="F7" s="1" t="s">
        <v>173</v>
      </c>
      <c r="G7" s="1" t="s">
        <v>244</v>
      </c>
      <c r="H7" s="1" t="s">
        <v>245</v>
      </c>
      <c r="I7" s="1" t="s">
        <v>246</v>
      </c>
      <c r="J7" s="1">
        <v>3</v>
      </c>
      <c r="K7" s="1" t="s">
        <v>247</v>
      </c>
      <c r="L7" s="1">
        <v>24150</v>
      </c>
      <c r="M7" s="1" t="s">
        <v>248</v>
      </c>
      <c r="N7" s="1" t="s">
        <v>176</v>
      </c>
      <c r="O7" s="21">
        <v>162.75</v>
      </c>
      <c r="P7" s="1" t="s">
        <v>249</v>
      </c>
    </row>
    <row r="8" spans="1:17" x14ac:dyDescent="0.2">
      <c r="A8" s="1" t="s">
        <v>170</v>
      </c>
      <c r="B8" s="1" t="s">
        <v>172</v>
      </c>
      <c r="C8" s="1">
        <v>1990</v>
      </c>
      <c r="D8" s="1">
        <v>1990</v>
      </c>
      <c r="E8" s="1">
        <v>1985</v>
      </c>
      <c r="F8" s="1" t="s">
        <v>173</v>
      </c>
      <c r="G8" s="1" t="s">
        <v>244</v>
      </c>
      <c r="H8" s="1" t="s">
        <v>245</v>
      </c>
      <c r="I8" s="1" t="s">
        <v>246</v>
      </c>
      <c r="J8" s="1">
        <v>4</v>
      </c>
      <c r="K8" s="1" t="s">
        <v>247</v>
      </c>
      <c r="L8" s="1">
        <v>34150</v>
      </c>
      <c r="M8" s="1" t="s">
        <v>248</v>
      </c>
      <c r="N8" s="1" t="s">
        <v>176</v>
      </c>
      <c r="O8" s="21">
        <v>218.73</v>
      </c>
      <c r="P8" s="1" t="s">
        <v>249</v>
      </c>
    </row>
    <row r="9" spans="1:17" x14ac:dyDescent="0.2">
      <c r="A9" s="1" t="s">
        <v>170</v>
      </c>
      <c r="B9" s="1" t="s">
        <v>172</v>
      </c>
      <c r="C9" s="1">
        <v>1990</v>
      </c>
      <c r="D9" s="1">
        <v>1990</v>
      </c>
      <c r="E9" s="1">
        <v>1985</v>
      </c>
      <c r="F9" s="1" t="s">
        <v>173</v>
      </c>
      <c r="G9" s="1" t="s">
        <v>244</v>
      </c>
      <c r="H9" s="1" t="s">
        <v>245</v>
      </c>
      <c r="I9" s="1" t="s">
        <v>246</v>
      </c>
      <c r="J9" s="1">
        <v>6</v>
      </c>
      <c r="K9" s="1" t="s">
        <v>247</v>
      </c>
      <c r="L9" s="1">
        <v>65000</v>
      </c>
      <c r="M9" s="1" t="s">
        <v>248</v>
      </c>
      <c r="N9" s="1" t="s">
        <v>176</v>
      </c>
      <c r="O9" s="21">
        <v>337.5</v>
      </c>
      <c r="P9" s="1" t="s">
        <v>249</v>
      </c>
    </row>
    <row r="10" spans="1:17" x14ac:dyDescent="0.2">
      <c r="A10" s="1" t="s">
        <v>170</v>
      </c>
      <c r="B10" s="1" t="s">
        <v>172</v>
      </c>
      <c r="C10" s="1">
        <v>1990</v>
      </c>
      <c r="D10" s="1">
        <v>1990</v>
      </c>
      <c r="E10" s="1">
        <v>1985</v>
      </c>
      <c r="F10" s="1" t="s">
        <v>173</v>
      </c>
      <c r="G10" s="1" t="s">
        <v>244</v>
      </c>
      <c r="H10" s="1" t="s">
        <v>245</v>
      </c>
      <c r="I10" s="1" t="s">
        <v>246</v>
      </c>
      <c r="J10" s="1">
        <v>8</v>
      </c>
      <c r="K10" s="1" t="s">
        <v>247</v>
      </c>
      <c r="L10" s="1">
        <v>148300</v>
      </c>
      <c r="M10" s="1" t="s">
        <v>248</v>
      </c>
      <c r="N10" s="1" t="s">
        <v>176</v>
      </c>
      <c r="O10" s="21">
        <v>654.03</v>
      </c>
      <c r="P10" s="1" t="s">
        <v>249</v>
      </c>
    </row>
    <row r="11" spans="1:17" x14ac:dyDescent="0.2">
      <c r="A11" s="1" t="s">
        <v>170</v>
      </c>
      <c r="B11" s="1" t="s">
        <v>172</v>
      </c>
      <c r="C11" s="1">
        <v>1990</v>
      </c>
      <c r="D11" s="1">
        <v>1990</v>
      </c>
      <c r="E11" s="1">
        <v>1985</v>
      </c>
      <c r="F11" s="1" t="s">
        <v>173</v>
      </c>
      <c r="G11" s="1" t="s">
        <v>244</v>
      </c>
      <c r="H11" s="1" t="s">
        <v>250</v>
      </c>
      <c r="I11" s="1" t="s">
        <v>251</v>
      </c>
      <c r="J11" s="1">
        <v>5000</v>
      </c>
      <c r="K11" s="1" t="s">
        <v>252</v>
      </c>
      <c r="L11" s="1" t="s">
        <v>176</v>
      </c>
      <c r="M11" s="1" t="s">
        <v>176</v>
      </c>
      <c r="N11" s="1" t="s">
        <v>176</v>
      </c>
      <c r="O11" s="21">
        <v>1.1100000000000001</v>
      </c>
      <c r="P11" s="1" t="s">
        <v>254</v>
      </c>
    </row>
    <row r="12" spans="1:17" x14ac:dyDescent="0.2">
      <c r="A12" s="1" t="s">
        <v>170</v>
      </c>
      <c r="B12" s="1" t="s">
        <v>172</v>
      </c>
      <c r="C12" s="1">
        <v>1990</v>
      </c>
      <c r="D12" s="1">
        <v>1990</v>
      </c>
      <c r="E12" s="1">
        <v>1985</v>
      </c>
      <c r="F12" s="1" t="s">
        <v>173</v>
      </c>
      <c r="G12" s="1" t="s">
        <v>244</v>
      </c>
      <c r="H12" s="1" t="s">
        <v>250</v>
      </c>
      <c r="I12" s="1" t="s">
        <v>251</v>
      </c>
      <c r="J12" s="22">
        <v>35000</v>
      </c>
      <c r="K12" s="1" t="s">
        <v>252</v>
      </c>
      <c r="L12" s="1" t="s">
        <v>176</v>
      </c>
      <c r="M12" s="1" t="s">
        <v>176</v>
      </c>
      <c r="N12" s="1" t="s">
        <v>176</v>
      </c>
      <c r="O12" s="21">
        <v>0.56000000000000005</v>
      </c>
      <c r="P12" s="1" t="s">
        <v>254</v>
      </c>
    </row>
    <row r="13" spans="1:17" x14ac:dyDescent="0.2">
      <c r="A13" s="1" t="s">
        <v>170</v>
      </c>
      <c r="B13" s="1" t="s">
        <v>172</v>
      </c>
      <c r="C13" s="1">
        <v>1990</v>
      </c>
      <c r="D13" s="1">
        <v>1990</v>
      </c>
      <c r="E13" s="1">
        <v>1985</v>
      </c>
      <c r="F13" s="1" t="s">
        <v>173</v>
      </c>
      <c r="G13" s="1" t="s">
        <v>244</v>
      </c>
      <c r="H13" s="1" t="s">
        <v>250</v>
      </c>
      <c r="I13" s="1" t="s">
        <v>251</v>
      </c>
      <c r="J13" s="1" t="s">
        <v>253</v>
      </c>
      <c r="K13" s="1" t="s">
        <v>252</v>
      </c>
      <c r="L13" s="1" t="s">
        <v>176</v>
      </c>
      <c r="M13" s="1" t="s">
        <v>176</v>
      </c>
      <c r="N13" s="1" t="s">
        <v>176</v>
      </c>
      <c r="O13" s="21">
        <v>0.38</v>
      </c>
      <c r="P13" s="1" t="s">
        <v>254</v>
      </c>
    </row>
    <row r="14" spans="1:17" x14ac:dyDescent="0.2">
      <c r="A14" s="1" t="s">
        <v>170</v>
      </c>
      <c r="B14" s="1" t="s">
        <v>172</v>
      </c>
      <c r="C14" s="1">
        <v>1990</v>
      </c>
      <c r="D14" s="1">
        <v>1990</v>
      </c>
      <c r="E14" s="1">
        <v>1985</v>
      </c>
      <c r="F14" s="1" t="s">
        <v>173</v>
      </c>
      <c r="G14" s="1" t="s">
        <v>255</v>
      </c>
      <c r="H14" s="1" t="s">
        <v>245</v>
      </c>
      <c r="I14" s="1" t="s">
        <v>256</v>
      </c>
      <c r="J14" s="1" t="s">
        <v>229</v>
      </c>
      <c r="K14" s="1" t="s">
        <v>258</v>
      </c>
      <c r="L14" s="1" t="s">
        <v>176</v>
      </c>
      <c r="M14" s="1" t="s">
        <v>176</v>
      </c>
      <c r="N14" s="1" t="s">
        <v>176</v>
      </c>
      <c r="O14" s="21">
        <v>99.4</v>
      </c>
      <c r="P14" s="1" t="s">
        <v>259</v>
      </c>
    </row>
    <row r="15" spans="1:17" x14ac:dyDescent="0.2">
      <c r="A15" s="1" t="s">
        <v>170</v>
      </c>
      <c r="B15" s="1" t="s">
        <v>172</v>
      </c>
      <c r="C15" s="1">
        <v>1990</v>
      </c>
      <c r="D15" s="1">
        <v>1990</v>
      </c>
      <c r="E15" s="1">
        <v>1985</v>
      </c>
      <c r="F15" s="1" t="s">
        <v>173</v>
      </c>
      <c r="G15" s="1" t="s">
        <v>255</v>
      </c>
      <c r="H15" s="1" t="s">
        <v>245</v>
      </c>
      <c r="I15" s="1" t="s">
        <v>256</v>
      </c>
      <c r="J15" s="1" t="s">
        <v>257</v>
      </c>
      <c r="K15" s="1" t="s">
        <v>258</v>
      </c>
      <c r="L15" s="1" t="s">
        <v>176</v>
      </c>
      <c r="M15" s="1" t="s">
        <v>176</v>
      </c>
      <c r="N15" s="1" t="s">
        <v>176</v>
      </c>
      <c r="O15" s="21">
        <v>99.4</v>
      </c>
      <c r="P15" s="1" t="s">
        <v>259</v>
      </c>
    </row>
    <row r="16" spans="1:17" x14ac:dyDescent="0.2">
      <c r="A16" s="1" t="s">
        <v>170</v>
      </c>
      <c r="B16" s="1" t="s">
        <v>172</v>
      </c>
      <c r="C16" s="1">
        <v>1990</v>
      </c>
      <c r="D16" s="1">
        <v>1990</v>
      </c>
      <c r="E16" s="1">
        <v>1985</v>
      </c>
      <c r="F16" s="1" t="s">
        <v>173</v>
      </c>
      <c r="G16" s="1" t="s">
        <v>255</v>
      </c>
      <c r="H16" s="1" t="s">
        <v>260</v>
      </c>
      <c r="I16" s="1" t="s">
        <v>261</v>
      </c>
      <c r="J16" s="1">
        <v>2</v>
      </c>
      <c r="K16" s="1" t="s">
        <v>247</v>
      </c>
      <c r="L16" s="1" t="s">
        <v>176</v>
      </c>
      <c r="M16" s="1" t="s">
        <v>176</v>
      </c>
      <c r="N16" s="1" t="s">
        <v>176</v>
      </c>
      <c r="O16" s="21">
        <v>167.76</v>
      </c>
      <c r="P16" s="1" t="s">
        <v>262</v>
      </c>
    </row>
    <row r="17" spans="1:16" x14ac:dyDescent="0.2">
      <c r="A17" s="1" t="s">
        <v>170</v>
      </c>
      <c r="B17" s="1" t="s">
        <v>172</v>
      </c>
      <c r="C17" s="1">
        <v>1990</v>
      </c>
      <c r="D17" s="1">
        <v>1990</v>
      </c>
      <c r="E17" s="1">
        <v>1985</v>
      </c>
      <c r="F17" s="1" t="s">
        <v>173</v>
      </c>
      <c r="G17" s="1" t="s">
        <v>255</v>
      </c>
      <c r="H17" s="1" t="s">
        <v>260</v>
      </c>
      <c r="I17" s="1" t="s">
        <v>261</v>
      </c>
      <c r="J17" s="1">
        <v>3</v>
      </c>
      <c r="K17" s="1" t="s">
        <v>247</v>
      </c>
      <c r="L17" s="1" t="s">
        <v>176</v>
      </c>
      <c r="M17" s="1" t="s">
        <v>176</v>
      </c>
      <c r="N17" s="1" t="s">
        <v>176</v>
      </c>
      <c r="O17" s="21">
        <v>283.32</v>
      </c>
      <c r="P17" s="1" t="s">
        <v>262</v>
      </c>
    </row>
    <row r="18" spans="1:16" x14ac:dyDescent="0.2">
      <c r="A18" s="1" t="s">
        <v>170</v>
      </c>
      <c r="B18" s="1" t="s">
        <v>172</v>
      </c>
      <c r="C18" s="1">
        <v>1990</v>
      </c>
      <c r="D18" s="1">
        <v>1990</v>
      </c>
      <c r="E18" s="1">
        <v>1985</v>
      </c>
      <c r="F18" s="1" t="s">
        <v>173</v>
      </c>
      <c r="G18" s="1" t="s">
        <v>255</v>
      </c>
      <c r="H18" s="1" t="s">
        <v>260</v>
      </c>
      <c r="I18" s="1" t="s">
        <v>261</v>
      </c>
      <c r="J18" s="1">
        <v>4</v>
      </c>
      <c r="K18" s="1" t="s">
        <v>247</v>
      </c>
      <c r="L18" s="1" t="s">
        <v>176</v>
      </c>
      <c r="M18" s="1" t="s">
        <v>176</v>
      </c>
      <c r="N18" s="1" t="s">
        <v>176</v>
      </c>
      <c r="O18" s="21">
        <v>377.4</v>
      </c>
      <c r="P18" s="1" t="s">
        <v>262</v>
      </c>
    </row>
    <row r="19" spans="1:16" x14ac:dyDescent="0.2">
      <c r="A19" s="1" t="s">
        <v>170</v>
      </c>
      <c r="B19" s="1" t="s">
        <v>172</v>
      </c>
      <c r="C19" s="1">
        <v>1990</v>
      </c>
      <c r="D19" s="1">
        <v>1990</v>
      </c>
      <c r="E19" s="1">
        <v>1985</v>
      </c>
      <c r="F19" s="1" t="s">
        <v>173</v>
      </c>
      <c r="G19" s="1" t="s">
        <v>255</v>
      </c>
      <c r="H19" s="1" t="s">
        <v>260</v>
      </c>
      <c r="I19" s="1" t="s">
        <v>261</v>
      </c>
      <c r="J19" s="1">
        <v>6</v>
      </c>
      <c r="K19" s="1" t="s">
        <v>247</v>
      </c>
      <c r="L19" s="1" t="s">
        <v>176</v>
      </c>
      <c r="M19" s="1" t="s">
        <v>176</v>
      </c>
      <c r="N19" s="1" t="s">
        <v>176</v>
      </c>
      <c r="O19" s="21">
        <v>566.79999999999995</v>
      </c>
      <c r="P19" s="1" t="s">
        <v>262</v>
      </c>
    </row>
    <row r="20" spans="1:16" x14ac:dyDescent="0.2">
      <c r="A20" s="1" t="s">
        <v>170</v>
      </c>
      <c r="B20" s="1" t="s">
        <v>172</v>
      </c>
      <c r="C20" s="1">
        <v>1990</v>
      </c>
      <c r="D20" s="1">
        <v>1990</v>
      </c>
      <c r="E20" s="1">
        <v>1985</v>
      </c>
      <c r="F20" s="1" t="s">
        <v>173</v>
      </c>
      <c r="G20" s="1" t="s">
        <v>255</v>
      </c>
      <c r="H20" s="1" t="s">
        <v>260</v>
      </c>
      <c r="I20" s="1" t="s">
        <v>261</v>
      </c>
      <c r="J20" s="1">
        <v>8</v>
      </c>
      <c r="K20" s="1" t="s">
        <v>247</v>
      </c>
      <c r="L20" s="1" t="s">
        <v>176</v>
      </c>
      <c r="M20" s="1" t="s">
        <v>176</v>
      </c>
      <c r="N20" s="1" t="s">
        <v>176</v>
      </c>
      <c r="O20" s="21">
        <v>755.4</v>
      </c>
      <c r="P20" s="1" t="s">
        <v>262</v>
      </c>
    </row>
    <row r="21" spans="1:16" x14ac:dyDescent="0.2">
      <c r="A21" s="1" t="s">
        <v>170</v>
      </c>
      <c r="B21" s="1" t="s">
        <v>172</v>
      </c>
      <c r="C21" s="1">
        <v>1990</v>
      </c>
      <c r="D21" s="1">
        <v>1990</v>
      </c>
      <c r="E21" s="1">
        <v>1985</v>
      </c>
      <c r="F21" s="1" t="s">
        <v>173</v>
      </c>
      <c r="G21" s="1" t="s">
        <v>255</v>
      </c>
      <c r="H21" s="1" t="s">
        <v>263</v>
      </c>
      <c r="I21" s="1" t="s">
        <v>264</v>
      </c>
      <c r="J21" s="1" t="s">
        <v>176</v>
      </c>
      <c r="K21" s="1" t="s">
        <v>176</v>
      </c>
      <c r="L21" s="1" t="s">
        <v>176</v>
      </c>
      <c r="M21" s="1" t="s">
        <v>176</v>
      </c>
      <c r="N21" s="1" t="s">
        <v>176</v>
      </c>
      <c r="O21" s="21">
        <v>0</v>
      </c>
      <c r="P21" s="1" t="s">
        <v>265</v>
      </c>
    </row>
    <row r="22" spans="1:16" x14ac:dyDescent="0.2">
      <c r="A22" s="1" t="s">
        <v>170</v>
      </c>
      <c r="B22" s="1" t="s">
        <v>172</v>
      </c>
      <c r="C22" s="1">
        <v>1990</v>
      </c>
      <c r="D22" s="1">
        <v>1991</v>
      </c>
      <c r="E22" s="1">
        <v>1991</v>
      </c>
      <c r="F22" s="1" t="s">
        <v>173</v>
      </c>
      <c r="G22" s="1" t="s">
        <v>244</v>
      </c>
      <c r="H22" s="1" t="s">
        <v>245</v>
      </c>
      <c r="I22" s="1" t="s">
        <v>246</v>
      </c>
      <c r="J22" s="1">
        <v>0.625</v>
      </c>
      <c r="K22" s="1" t="s">
        <v>247</v>
      </c>
      <c r="L22" s="1">
        <v>1500</v>
      </c>
      <c r="M22" s="1" t="s">
        <v>248</v>
      </c>
      <c r="N22" s="1" t="s">
        <v>176</v>
      </c>
      <c r="O22" s="21">
        <v>22.44</v>
      </c>
      <c r="P22" s="1" t="s">
        <v>249</v>
      </c>
    </row>
    <row r="23" spans="1:16" x14ac:dyDescent="0.2">
      <c r="A23" s="1" t="s">
        <v>170</v>
      </c>
      <c r="B23" s="1" t="s">
        <v>172</v>
      </c>
      <c r="C23" s="1">
        <v>1990</v>
      </c>
      <c r="D23" s="1">
        <v>1991</v>
      </c>
      <c r="E23" s="1">
        <v>1991</v>
      </c>
      <c r="F23" s="1" t="s">
        <v>173</v>
      </c>
      <c r="G23" s="1" t="s">
        <v>244</v>
      </c>
      <c r="H23" s="1" t="s">
        <v>245</v>
      </c>
      <c r="I23" s="1" t="s">
        <v>246</v>
      </c>
      <c r="J23" s="1">
        <v>0.75</v>
      </c>
      <c r="K23" s="1" t="s">
        <v>247</v>
      </c>
      <c r="L23" s="1">
        <v>2100</v>
      </c>
      <c r="M23" s="1" t="s">
        <v>248</v>
      </c>
      <c r="N23" s="1" t="s">
        <v>176</v>
      </c>
      <c r="O23" s="21">
        <v>31.68</v>
      </c>
      <c r="P23" s="1" t="s">
        <v>249</v>
      </c>
    </row>
    <row r="24" spans="1:16" x14ac:dyDescent="0.2">
      <c r="A24" s="1" t="s">
        <v>170</v>
      </c>
      <c r="B24" s="1" t="s">
        <v>172</v>
      </c>
      <c r="C24" s="1">
        <v>1990</v>
      </c>
      <c r="D24" s="1">
        <v>1991</v>
      </c>
      <c r="E24" s="1">
        <v>1991</v>
      </c>
      <c r="F24" s="1" t="s">
        <v>173</v>
      </c>
      <c r="G24" s="1" t="s">
        <v>244</v>
      </c>
      <c r="H24" s="1" t="s">
        <v>245</v>
      </c>
      <c r="I24" s="1" t="s">
        <v>246</v>
      </c>
      <c r="J24" s="1">
        <v>1</v>
      </c>
      <c r="K24" s="1" t="s">
        <v>247</v>
      </c>
      <c r="L24" s="1">
        <v>3900</v>
      </c>
      <c r="M24" s="1" t="s">
        <v>248</v>
      </c>
      <c r="N24" s="1" t="s">
        <v>176</v>
      </c>
      <c r="O24" s="21">
        <v>51.48</v>
      </c>
      <c r="P24" s="1" t="s">
        <v>249</v>
      </c>
    </row>
    <row r="25" spans="1:16" x14ac:dyDescent="0.2">
      <c r="A25" s="1" t="s">
        <v>170</v>
      </c>
      <c r="B25" s="1" t="s">
        <v>172</v>
      </c>
      <c r="C25" s="1">
        <v>1990</v>
      </c>
      <c r="D25" s="1">
        <v>1991</v>
      </c>
      <c r="E25" s="1">
        <v>1991</v>
      </c>
      <c r="F25" s="1" t="s">
        <v>173</v>
      </c>
      <c r="G25" s="1" t="s">
        <v>244</v>
      </c>
      <c r="H25" s="1" t="s">
        <v>245</v>
      </c>
      <c r="I25" s="1" t="s">
        <v>246</v>
      </c>
      <c r="J25" s="1">
        <v>1.5</v>
      </c>
      <c r="K25" s="1" t="s">
        <v>247</v>
      </c>
      <c r="L25" s="1">
        <v>8300</v>
      </c>
      <c r="M25" s="1" t="s">
        <v>248</v>
      </c>
      <c r="N25" s="1" t="s">
        <v>176</v>
      </c>
      <c r="O25" s="21">
        <v>90.42</v>
      </c>
      <c r="P25" s="1" t="s">
        <v>249</v>
      </c>
    </row>
    <row r="26" spans="1:16" x14ac:dyDescent="0.2">
      <c r="A26" s="1" t="s">
        <v>170</v>
      </c>
      <c r="B26" s="1" t="s">
        <v>172</v>
      </c>
      <c r="C26" s="1">
        <v>1990</v>
      </c>
      <c r="D26" s="1">
        <v>1991</v>
      </c>
      <c r="E26" s="1">
        <v>1991</v>
      </c>
      <c r="F26" s="1" t="s">
        <v>173</v>
      </c>
      <c r="G26" s="1" t="s">
        <v>244</v>
      </c>
      <c r="H26" s="1" t="s">
        <v>245</v>
      </c>
      <c r="I26" s="1" t="s">
        <v>246</v>
      </c>
      <c r="J26" s="1">
        <v>2</v>
      </c>
      <c r="K26" s="1" t="s">
        <v>247</v>
      </c>
      <c r="L26" s="1">
        <v>12700</v>
      </c>
      <c r="M26" s="1" t="s">
        <v>248</v>
      </c>
      <c r="N26" s="1" t="s">
        <v>176</v>
      </c>
      <c r="O26" s="21">
        <v>122.98</v>
      </c>
      <c r="P26" s="1" t="s">
        <v>249</v>
      </c>
    </row>
    <row r="27" spans="1:16" x14ac:dyDescent="0.2">
      <c r="A27" s="1" t="s">
        <v>170</v>
      </c>
      <c r="B27" s="1" t="s">
        <v>172</v>
      </c>
      <c r="C27" s="1">
        <v>1990</v>
      </c>
      <c r="D27" s="1">
        <v>1991</v>
      </c>
      <c r="E27" s="1">
        <v>1991</v>
      </c>
      <c r="F27" s="1" t="s">
        <v>173</v>
      </c>
      <c r="G27" s="1" t="s">
        <v>244</v>
      </c>
      <c r="H27" s="1" t="s">
        <v>245</v>
      </c>
      <c r="I27" s="1" t="s">
        <v>246</v>
      </c>
      <c r="J27" s="1">
        <v>3</v>
      </c>
      <c r="K27" s="1" t="s">
        <v>247</v>
      </c>
      <c r="L27" s="1">
        <v>24100</v>
      </c>
      <c r="M27" s="1" t="s">
        <v>248</v>
      </c>
      <c r="N27" s="1" t="s">
        <v>176</v>
      </c>
      <c r="O27" s="21">
        <v>207.71</v>
      </c>
      <c r="P27" s="1" t="s">
        <v>249</v>
      </c>
    </row>
    <row r="28" spans="1:16" x14ac:dyDescent="0.2">
      <c r="A28" s="1" t="s">
        <v>170</v>
      </c>
      <c r="B28" s="1" t="s">
        <v>172</v>
      </c>
      <c r="C28" s="1">
        <v>1990</v>
      </c>
      <c r="D28" s="1">
        <v>1991</v>
      </c>
      <c r="E28" s="1">
        <v>1991</v>
      </c>
      <c r="F28" s="1" t="s">
        <v>173</v>
      </c>
      <c r="G28" s="1" t="s">
        <v>244</v>
      </c>
      <c r="H28" s="1" t="s">
        <v>245</v>
      </c>
      <c r="I28" s="1" t="s">
        <v>246</v>
      </c>
      <c r="J28" s="1">
        <v>4</v>
      </c>
      <c r="K28" s="1" t="s">
        <v>247</v>
      </c>
      <c r="L28" s="1">
        <v>34100</v>
      </c>
      <c r="M28" s="1" t="s">
        <v>248</v>
      </c>
      <c r="N28" s="1" t="s">
        <v>176</v>
      </c>
      <c r="O28" s="21">
        <v>281.70999999999998</v>
      </c>
      <c r="P28" s="1" t="s">
        <v>249</v>
      </c>
    </row>
    <row r="29" spans="1:16" x14ac:dyDescent="0.2">
      <c r="A29" s="1" t="s">
        <v>170</v>
      </c>
      <c r="B29" s="1" t="s">
        <v>172</v>
      </c>
      <c r="C29" s="1">
        <v>1990</v>
      </c>
      <c r="D29" s="1">
        <v>1991</v>
      </c>
      <c r="E29" s="1">
        <v>1991</v>
      </c>
      <c r="F29" s="1" t="s">
        <v>173</v>
      </c>
      <c r="G29" s="1" t="s">
        <v>244</v>
      </c>
      <c r="H29" s="1" t="s">
        <v>245</v>
      </c>
      <c r="I29" s="1" t="s">
        <v>246</v>
      </c>
      <c r="J29" s="1">
        <v>6</v>
      </c>
      <c r="K29" s="1" t="s">
        <v>247</v>
      </c>
      <c r="L29" s="1">
        <v>65000</v>
      </c>
      <c r="M29" s="1" t="s">
        <v>248</v>
      </c>
      <c r="N29" s="1" t="s">
        <v>176</v>
      </c>
      <c r="O29" s="21">
        <v>438</v>
      </c>
      <c r="P29" s="1" t="s">
        <v>249</v>
      </c>
    </row>
    <row r="30" spans="1:16" x14ac:dyDescent="0.2">
      <c r="A30" s="1" t="s">
        <v>170</v>
      </c>
      <c r="B30" s="1" t="s">
        <v>172</v>
      </c>
      <c r="C30" s="1">
        <v>1990</v>
      </c>
      <c r="D30" s="1">
        <v>1991</v>
      </c>
      <c r="E30" s="1">
        <v>1991</v>
      </c>
      <c r="F30" s="1" t="s">
        <v>173</v>
      </c>
      <c r="G30" s="1" t="s">
        <v>244</v>
      </c>
      <c r="H30" s="1" t="s">
        <v>245</v>
      </c>
      <c r="I30" s="1" t="s">
        <v>246</v>
      </c>
      <c r="J30" s="1">
        <v>8</v>
      </c>
      <c r="K30" s="1" t="s">
        <v>247</v>
      </c>
      <c r="L30" s="1">
        <v>148300</v>
      </c>
      <c r="M30" s="1" t="s">
        <v>248</v>
      </c>
      <c r="N30" s="1" t="s">
        <v>176</v>
      </c>
      <c r="O30" s="21">
        <v>854.5</v>
      </c>
      <c r="P30" s="1" t="s">
        <v>249</v>
      </c>
    </row>
    <row r="31" spans="1:16" x14ac:dyDescent="0.2">
      <c r="A31" s="1" t="s">
        <v>170</v>
      </c>
      <c r="B31" s="1" t="s">
        <v>172</v>
      </c>
      <c r="C31" s="1">
        <v>1990</v>
      </c>
      <c r="D31" s="1">
        <v>1991</v>
      </c>
      <c r="E31" s="1">
        <v>1991</v>
      </c>
      <c r="F31" s="1" t="s">
        <v>173</v>
      </c>
      <c r="G31" s="1" t="s">
        <v>244</v>
      </c>
      <c r="H31" s="1" t="s">
        <v>250</v>
      </c>
      <c r="I31" s="1" t="s">
        <v>251</v>
      </c>
      <c r="J31" s="1">
        <v>5000</v>
      </c>
      <c r="K31" s="1" t="s">
        <v>252</v>
      </c>
      <c r="L31" s="1" t="s">
        <v>176</v>
      </c>
      <c r="M31" s="1" t="s">
        <v>176</v>
      </c>
      <c r="N31" s="1" t="s">
        <v>176</v>
      </c>
      <c r="O31" s="21">
        <v>1.32</v>
      </c>
      <c r="P31" s="1" t="s">
        <v>254</v>
      </c>
    </row>
    <row r="32" spans="1:16" x14ac:dyDescent="0.2">
      <c r="A32" s="1" t="s">
        <v>170</v>
      </c>
      <c r="B32" s="1" t="s">
        <v>172</v>
      </c>
      <c r="C32" s="1">
        <v>1990</v>
      </c>
      <c r="D32" s="1">
        <v>1991</v>
      </c>
      <c r="E32" s="1">
        <v>1991</v>
      </c>
      <c r="F32" s="1" t="s">
        <v>173</v>
      </c>
      <c r="G32" s="1" t="s">
        <v>244</v>
      </c>
      <c r="H32" s="1" t="s">
        <v>250</v>
      </c>
      <c r="I32" s="1" t="s">
        <v>251</v>
      </c>
      <c r="J32" s="22">
        <v>35000</v>
      </c>
      <c r="K32" s="1" t="s">
        <v>252</v>
      </c>
      <c r="L32" s="1" t="s">
        <v>176</v>
      </c>
      <c r="M32" s="1" t="s">
        <v>176</v>
      </c>
      <c r="N32" s="1" t="s">
        <v>176</v>
      </c>
      <c r="O32" s="21">
        <v>0.74</v>
      </c>
      <c r="P32" s="1" t="s">
        <v>254</v>
      </c>
    </row>
    <row r="33" spans="1:16" x14ac:dyDescent="0.2">
      <c r="A33" s="1" t="s">
        <v>170</v>
      </c>
      <c r="B33" s="1" t="s">
        <v>172</v>
      </c>
      <c r="C33" s="1">
        <v>1990</v>
      </c>
      <c r="D33" s="1">
        <v>1991</v>
      </c>
      <c r="E33" s="1">
        <v>1991</v>
      </c>
      <c r="F33" s="1" t="s">
        <v>173</v>
      </c>
      <c r="G33" s="1" t="s">
        <v>244</v>
      </c>
      <c r="H33" s="1" t="s">
        <v>250</v>
      </c>
      <c r="I33" s="1" t="s">
        <v>251</v>
      </c>
      <c r="J33" s="1" t="s">
        <v>253</v>
      </c>
      <c r="K33" s="1" t="s">
        <v>252</v>
      </c>
      <c r="L33" s="1" t="s">
        <v>176</v>
      </c>
      <c r="M33" s="1" t="s">
        <v>176</v>
      </c>
      <c r="N33" s="1" t="s">
        <v>176</v>
      </c>
      <c r="O33" s="21">
        <v>0.5</v>
      </c>
      <c r="P33" s="1" t="s">
        <v>254</v>
      </c>
    </row>
    <row r="34" spans="1:16" x14ac:dyDescent="0.2">
      <c r="A34" s="1" t="s">
        <v>170</v>
      </c>
      <c r="B34" s="1" t="s">
        <v>172</v>
      </c>
      <c r="C34" s="1">
        <v>1990</v>
      </c>
      <c r="D34" s="1">
        <v>1991</v>
      </c>
      <c r="E34" s="1">
        <v>1991</v>
      </c>
      <c r="F34" s="1" t="s">
        <v>173</v>
      </c>
      <c r="G34" s="1" t="s">
        <v>255</v>
      </c>
      <c r="H34" s="1" t="s">
        <v>245</v>
      </c>
      <c r="I34" s="1" t="s">
        <v>256</v>
      </c>
      <c r="J34" s="1" t="s">
        <v>229</v>
      </c>
      <c r="K34" s="1" t="s">
        <v>258</v>
      </c>
      <c r="L34" s="1" t="s">
        <v>176</v>
      </c>
      <c r="M34" s="1" t="s">
        <v>176</v>
      </c>
      <c r="N34" s="1" t="s">
        <v>176</v>
      </c>
      <c r="O34" s="21">
        <v>99.4</v>
      </c>
      <c r="P34" s="1" t="s">
        <v>259</v>
      </c>
    </row>
    <row r="35" spans="1:16" x14ac:dyDescent="0.2">
      <c r="A35" s="1" t="s">
        <v>170</v>
      </c>
      <c r="B35" s="1" t="s">
        <v>172</v>
      </c>
      <c r="C35" s="1">
        <v>1990</v>
      </c>
      <c r="D35" s="1">
        <v>1991</v>
      </c>
      <c r="E35" s="1">
        <v>1991</v>
      </c>
      <c r="F35" s="1" t="s">
        <v>173</v>
      </c>
      <c r="G35" s="1" t="s">
        <v>255</v>
      </c>
      <c r="H35" s="1" t="s">
        <v>245</v>
      </c>
      <c r="I35" s="1" t="s">
        <v>256</v>
      </c>
      <c r="J35" s="1" t="s">
        <v>257</v>
      </c>
      <c r="K35" s="1" t="s">
        <v>258</v>
      </c>
      <c r="L35" s="1" t="s">
        <v>176</v>
      </c>
      <c r="M35" s="1" t="s">
        <v>176</v>
      </c>
      <c r="N35" s="1" t="s">
        <v>176</v>
      </c>
      <c r="O35" s="21">
        <v>99.4</v>
      </c>
      <c r="P35" s="1" t="s">
        <v>259</v>
      </c>
    </row>
    <row r="36" spans="1:16" x14ac:dyDescent="0.2">
      <c r="A36" s="1" t="s">
        <v>170</v>
      </c>
      <c r="B36" s="1" t="s">
        <v>172</v>
      </c>
      <c r="C36" s="1">
        <v>1990</v>
      </c>
      <c r="D36" s="1">
        <v>1991</v>
      </c>
      <c r="E36" s="1">
        <v>1991</v>
      </c>
      <c r="F36" s="1" t="s">
        <v>173</v>
      </c>
      <c r="G36" s="1" t="s">
        <v>255</v>
      </c>
      <c r="H36" s="1" t="s">
        <v>260</v>
      </c>
      <c r="I36" s="1" t="s">
        <v>261</v>
      </c>
      <c r="J36" s="1">
        <v>2</v>
      </c>
      <c r="K36" s="1" t="s">
        <v>247</v>
      </c>
      <c r="L36" s="1" t="s">
        <v>176</v>
      </c>
      <c r="M36" s="1" t="s">
        <v>176</v>
      </c>
      <c r="N36" s="1" t="s">
        <v>176</v>
      </c>
      <c r="O36" s="21">
        <v>167.76</v>
      </c>
      <c r="P36" s="1" t="s">
        <v>262</v>
      </c>
    </row>
    <row r="37" spans="1:16" x14ac:dyDescent="0.2">
      <c r="A37" s="1" t="s">
        <v>170</v>
      </c>
      <c r="B37" s="1" t="s">
        <v>172</v>
      </c>
      <c r="C37" s="1">
        <v>1990</v>
      </c>
      <c r="D37" s="1">
        <v>1991</v>
      </c>
      <c r="E37" s="1">
        <v>1991</v>
      </c>
      <c r="F37" s="1" t="s">
        <v>173</v>
      </c>
      <c r="G37" s="1" t="s">
        <v>255</v>
      </c>
      <c r="H37" s="1" t="s">
        <v>260</v>
      </c>
      <c r="I37" s="1" t="s">
        <v>261</v>
      </c>
      <c r="J37" s="1">
        <v>3</v>
      </c>
      <c r="K37" s="1" t="s">
        <v>247</v>
      </c>
      <c r="L37" s="1" t="s">
        <v>176</v>
      </c>
      <c r="M37" s="1" t="s">
        <v>176</v>
      </c>
      <c r="N37" s="1" t="s">
        <v>176</v>
      </c>
      <c r="O37" s="21">
        <v>283.32</v>
      </c>
      <c r="P37" s="1" t="s">
        <v>262</v>
      </c>
    </row>
    <row r="38" spans="1:16" x14ac:dyDescent="0.2">
      <c r="A38" s="1" t="s">
        <v>170</v>
      </c>
      <c r="B38" s="1" t="s">
        <v>172</v>
      </c>
      <c r="C38" s="1">
        <v>1990</v>
      </c>
      <c r="D38" s="1">
        <v>1991</v>
      </c>
      <c r="E38" s="1">
        <v>1991</v>
      </c>
      <c r="F38" s="1" t="s">
        <v>173</v>
      </c>
      <c r="G38" s="1" t="s">
        <v>255</v>
      </c>
      <c r="H38" s="1" t="s">
        <v>260</v>
      </c>
      <c r="I38" s="1" t="s">
        <v>261</v>
      </c>
      <c r="J38" s="1">
        <v>4</v>
      </c>
      <c r="K38" s="1" t="s">
        <v>247</v>
      </c>
      <c r="L38" s="1" t="s">
        <v>176</v>
      </c>
      <c r="M38" s="1" t="s">
        <v>176</v>
      </c>
      <c r="N38" s="1" t="s">
        <v>176</v>
      </c>
      <c r="O38" s="21">
        <v>377.4</v>
      </c>
      <c r="P38" s="1" t="s">
        <v>262</v>
      </c>
    </row>
    <row r="39" spans="1:16" x14ac:dyDescent="0.2">
      <c r="A39" s="1" t="s">
        <v>170</v>
      </c>
      <c r="B39" s="1" t="s">
        <v>172</v>
      </c>
      <c r="C39" s="1">
        <v>1990</v>
      </c>
      <c r="D39" s="1">
        <v>1991</v>
      </c>
      <c r="E39" s="1">
        <v>1991</v>
      </c>
      <c r="F39" s="1" t="s">
        <v>173</v>
      </c>
      <c r="G39" s="1" t="s">
        <v>255</v>
      </c>
      <c r="H39" s="1" t="s">
        <v>260</v>
      </c>
      <c r="I39" s="1" t="s">
        <v>261</v>
      </c>
      <c r="J39" s="1">
        <v>6</v>
      </c>
      <c r="K39" s="1" t="s">
        <v>247</v>
      </c>
      <c r="L39" s="1" t="s">
        <v>176</v>
      </c>
      <c r="M39" s="1" t="s">
        <v>176</v>
      </c>
      <c r="N39" s="1" t="s">
        <v>176</v>
      </c>
      <c r="O39" s="21">
        <v>566.79999999999995</v>
      </c>
      <c r="P39" s="1" t="s">
        <v>262</v>
      </c>
    </row>
    <row r="40" spans="1:16" x14ac:dyDescent="0.2">
      <c r="A40" s="1" t="s">
        <v>170</v>
      </c>
      <c r="B40" s="1" t="s">
        <v>172</v>
      </c>
      <c r="C40" s="1">
        <v>1990</v>
      </c>
      <c r="D40" s="1">
        <v>1991</v>
      </c>
      <c r="E40" s="1">
        <v>1991</v>
      </c>
      <c r="F40" s="1" t="s">
        <v>173</v>
      </c>
      <c r="G40" s="1" t="s">
        <v>255</v>
      </c>
      <c r="H40" s="1" t="s">
        <v>260</v>
      </c>
      <c r="I40" s="1" t="s">
        <v>261</v>
      </c>
      <c r="J40" s="1">
        <v>8</v>
      </c>
      <c r="K40" s="1" t="s">
        <v>247</v>
      </c>
      <c r="L40" s="1" t="s">
        <v>176</v>
      </c>
      <c r="M40" s="1" t="s">
        <v>176</v>
      </c>
      <c r="N40" s="1" t="s">
        <v>176</v>
      </c>
      <c r="O40" s="21">
        <v>755.4</v>
      </c>
      <c r="P40" s="1" t="s">
        <v>262</v>
      </c>
    </row>
    <row r="41" spans="1:16" x14ac:dyDescent="0.2">
      <c r="A41" s="1" t="s">
        <v>170</v>
      </c>
      <c r="B41" s="1" t="s">
        <v>172</v>
      </c>
      <c r="C41" s="1">
        <v>1990</v>
      </c>
      <c r="D41" s="1">
        <v>1991</v>
      </c>
      <c r="E41" s="1">
        <v>1991</v>
      </c>
      <c r="F41" s="1" t="s">
        <v>173</v>
      </c>
      <c r="G41" s="1" t="s">
        <v>255</v>
      </c>
      <c r="H41" s="1" t="s">
        <v>263</v>
      </c>
      <c r="I41" s="1" t="s">
        <v>264</v>
      </c>
      <c r="J41" s="1" t="s">
        <v>176</v>
      </c>
      <c r="K41" s="1" t="s">
        <v>176</v>
      </c>
      <c r="L41" s="1" t="s">
        <v>176</v>
      </c>
      <c r="M41" s="1" t="s">
        <v>176</v>
      </c>
      <c r="N41" s="1" t="s">
        <v>176</v>
      </c>
      <c r="O41" s="21">
        <v>2000</v>
      </c>
      <c r="P41" s="1" t="s">
        <v>265</v>
      </c>
    </row>
    <row r="42" spans="1:16" x14ac:dyDescent="0.2">
      <c r="A42" s="1" t="s">
        <v>170</v>
      </c>
      <c r="B42" s="1" t="s">
        <v>172</v>
      </c>
      <c r="C42" s="1">
        <v>1995</v>
      </c>
      <c r="D42" s="1">
        <v>1995</v>
      </c>
      <c r="E42" s="1">
        <v>1995</v>
      </c>
      <c r="F42" s="1" t="s">
        <v>173</v>
      </c>
      <c r="G42" s="1" t="s">
        <v>244</v>
      </c>
      <c r="H42" s="1" t="s">
        <v>245</v>
      </c>
      <c r="I42" s="1" t="s">
        <v>246</v>
      </c>
      <c r="J42" s="1">
        <v>0.625</v>
      </c>
      <c r="K42" s="1" t="s">
        <v>247</v>
      </c>
      <c r="L42" s="1">
        <v>1200</v>
      </c>
      <c r="M42" s="1" t="s">
        <v>248</v>
      </c>
      <c r="N42" s="1" t="s">
        <v>176</v>
      </c>
      <c r="O42" s="21">
        <v>23.31</v>
      </c>
      <c r="P42" s="1" t="s">
        <v>249</v>
      </c>
    </row>
    <row r="43" spans="1:16" x14ac:dyDescent="0.2">
      <c r="A43" s="1" t="s">
        <v>170</v>
      </c>
      <c r="B43" s="1" t="s">
        <v>172</v>
      </c>
      <c r="C43" s="1">
        <v>1995</v>
      </c>
      <c r="D43" s="1">
        <v>1995</v>
      </c>
      <c r="E43" s="1">
        <v>1995</v>
      </c>
      <c r="F43" s="1" t="s">
        <v>173</v>
      </c>
      <c r="G43" s="1" t="s">
        <v>244</v>
      </c>
      <c r="H43" s="1" t="s">
        <v>245</v>
      </c>
      <c r="I43" s="1" t="s">
        <v>246</v>
      </c>
      <c r="J43" s="1">
        <v>0.75</v>
      </c>
      <c r="K43" s="1" t="s">
        <v>247</v>
      </c>
      <c r="L43" s="1">
        <v>1800</v>
      </c>
      <c r="M43" s="1" t="s">
        <v>248</v>
      </c>
      <c r="N43" s="1" t="s">
        <v>176</v>
      </c>
      <c r="O43" s="21">
        <v>32.85</v>
      </c>
      <c r="P43" s="1" t="s">
        <v>249</v>
      </c>
    </row>
    <row r="44" spans="1:16" x14ac:dyDescent="0.2">
      <c r="A44" s="1" t="s">
        <v>170</v>
      </c>
      <c r="B44" s="1" t="s">
        <v>172</v>
      </c>
      <c r="C44" s="1">
        <v>1995</v>
      </c>
      <c r="D44" s="1">
        <v>1995</v>
      </c>
      <c r="E44" s="1">
        <v>1995</v>
      </c>
      <c r="F44" s="1" t="s">
        <v>173</v>
      </c>
      <c r="G44" s="1" t="s">
        <v>244</v>
      </c>
      <c r="H44" s="1" t="s">
        <v>245</v>
      </c>
      <c r="I44" s="1" t="s">
        <v>246</v>
      </c>
      <c r="J44" s="1">
        <v>1</v>
      </c>
      <c r="K44" s="1" t="s">
        <v>247</v>
      </c>
      <c r="L44" s="1">
        <v>3900</v>
      </c>
      <c r="M44" s="1" t="s">
        <v>248</v>
      </c>
      <c r="N44" s="1" t="s">
        <v>176</v>
      </c>
      <c r="O44" s="21">
        <v>63.65</v>
      </c>
      <c r="P44" s="1" t="s">
        <v>249</v>
      </c>
    </row>
    <row r="45" spans="1:16" x14ac:dyDescent="0.2">
      <c r="A45" s="1" t="s">
        <v>170</v>
      </c>
      <c r="B45" s="1" t="s">
        <v>172</v>
      </c>
      <c r="C45" s="1">
        <v>1995</v>
      </c>
      <c r="D45" s="1">
        <v>1995</v>
      </c>
      <c r="E45" s="1">
        <v>1995</v>
      </c>
      <c r="F45" s="1" t="s">
        <v>173</v>
      </c>
      <c r="G45" s="1" t="s">
        <v>244</v>
      </c>
      <c r="H45" s="1" t="s">
        <v>245</v>
      </c>
      <c r="I45" s="1" t="s">
        <v>246</v>
      </c>
      <c r="J45" s="1">
        <v>1.5</v>
      </c>
      <c r="K45" s="1" t="s">
        <v>247</v>
      </c>
      <c r="L45" s="1">
        <v>8300</v>
      </c>
      <c r="M45" s="1" t="s">
        <v>248</v>
      </c>
      <c r="N45" s="1" t="s">
        <v>176</v>
      </c>
      <c r="O45" s="21">
        <v>122.19</v>
      </c>
      <c r="P45" s="1" t="s">
        <v>249</v>
      </c>
    </row>
    <row r="46" spans="1:16" x14ac:dyDescent="0.2">
      <c r="A46" s="1" t="s">
        <v>170</v>
      </c>
      <c r="B46" s="1" t="s">
        <v>172</v>
      </c>
      <c r="C46" s="1">
        <v>1995</v>
      </c>
      <c r="D46" s="1">
        <v>1995</v>
      </c>
      <c r="E46" s="1">
        <v>1995</v>
      </c>
      <c r="F46" s="1" t="s">
        <v>173</v>
      </c>
      <c r="G46" s="1" t="s">
        <v>244</v>
      </c>
      <c r="H46" s="1" t="s">
        <v>245</v>
      </c>
      <c r="I46" s="1" t="s">
        <v>246</v>
      </c>
      <c r="J46" s="1">
        <v>2</v>
      </c>
      <c r="K46" s="1" t="s">
        <v>247</v>
      </c>
      <c r="L46" s="1">
        <v>12700</v>
      </c>
      <c r="M46" s="1" t="s">
        <v>248</v>
      </c>
      <c r="N46" s="1" t="s">
        <v>176</v>
      </c>
      <c r="O46" s="21">
        <v>176.31</v>
      </c>
      <c r="P46" s="1" t="s">
        <v>249</v>
      </c>
    </row>
    <row r="47" spans="1:16" x14ac:dyDescent="0.2">
      <c r="A47" s="1" t="s">
        <v>170</v>
      </c>
      <c r="B47" s="1" t="s">
        <v>172</v>
      </c>
      <c r="C47" s="1">
        <v>1995</v>
      </c>
      <c r="D47" s="1">
        <v>1995</v>
      </c>
      <c r="E47" s="1">
        <v>1995</v>
      </c>
      <c r="F47" s="1" t="s">
        <v>173</v>
      </c>
      <c r="G47" s="1" t="s">
        <v>244</v>
      </c>
      <c r="H47" s="1" t="s">
        <v>245</v>
      </c>
      <c r="I47" s="1" t="s">
        <v>246</v>
      </c>
      <c r="J47" s="1">
        <v>3</v>
      </c>
      <c r="K47" s="1" t="s">
        <v>247</v>
      </c>
      <c r="L47" s="1">
        <v>24100</v>
      </c>
      <c r="M47" s="1" t="s">
        <v>248</v>
      </c>
      <c r="N47" s="1" t="s">
        <v>176</v>
      </c>
      <c r="O47" s="21">
        <v>316.52999999999997</v>
      </c>
      <c r="P47" s="1" t="s">
        <v>249</v>
      </c>
    </row>
    <row r="48" spans="1:16" x14ac:dyDescent="0.2">
      <c r="A48" s="1" t="s">
        <v>170</v>
      </c>
      <c r="B48" s="1" t="s">
        <v>172</v>
      </c>
      <c r="C48" s="1">
        <v>1995</v>
      </c>
      <c r="D48" s="1">
        <v>1995</v>
      </c>
      <c r="E48" s="1">
        <v>1995</v>
      </c>
      <c r="F48" s="1" t="s">
        <v>173</v>
      </c>
      <c r="G48" s="1" t="s">
        <v>244</v>
      </c>
      <c r="H48" s="1" t="s">
        <v>245</v>
      </c>
      <c r="I48" s="1" t="s">
        <v>246</v>
      </c>
      <c r="J48" s="1">
        <v>4</v>
      </c>
      <c r="K48" s="1" t="s">
        <v>247</v>
      </c>
      <c r="L48" s="1">
        <v>34100</v>
      </c>
      <c r="M48" s="1" t="s">
        <v>248</v>
      </c>
      <c r="N48" s="1" t="s">
        <v>176</v>
      </c>
      <c r="O48" s="21">
        <v>439.53</v>
      </c>
      <c r="P48" s="1" t="s">
        <v>249</v>
      </c>
    </row>
    <row r="49" spans="1:16" x14ac:dyDescent="0.2">
      <c r="A49" s="1" t="s">
        <v>170</v>
      </c>
      <c r="B49" s="1" t="s">
        <v>172</v>
      </c>
      <c r="C49" s="1">
        <v>1995</v>
      </c>
      <c r="D49" s="1">
        <v>1995</v>
      </c>
      <c r="E49" s="1">
        <v>1995</v>
      </c>
      <c r="F49" s="1" t="s">
        <v>173</v>
      </c>
      <c r="G49" s="1" t="s">
        <v>244</v>
      </c>
      <c r="H49" s="1" t="s">
        <v>245</v>
      </c>
      <c r="I49" s="1" t="s">
        <v>246</v>
      </c>
      <c r="J49" s="1">
        <v>6</v>
      </c>
      <c r="K49" s="1" t="s">
        <v>247</v>
      </c>
      <c r="L49" s="1">
        <v>65000</v>
      </c>
      <c r="M49" s="1" t="s">
        <v>248</v>
      </c>
      <c r="N49" s="1" t="s">
        <v>176</v>
      </c>
      <c r="O49" s="21">
        <v>743.1</v>
      </c>
      <c r="P49" s="1" t="s">
        <v>249</v>
      </c>
    </row>
    <row r="50" spans="1:16" x14ac:dyDescent="0.2">
      <c r="A50" s="1" t="s">
        <v>170</v>
      </c>
      <c r="B50" s="1" t="s">
        <v>172</v>
      </c>
      <c r="C50" s="1">
        <v>1995</v>
      </c>
      <c r="D50" s="1">
        <v>1995</v>
      </c>
      <c r="E50" s="1">
        <v>1995</v>
      </c>
      <c r="F50" s="1" t="s">
        <v>173</v>
      </c>
      <c r="G50" s="1" t="s">
        <v>244</v>
      </c>
      <c r="H50" s="1" t="s">
        <v>245</v>
      </c>
      <c r="I50" s="1" t="s">
        <v>246</v>
      </c>
      <c r="J50" s="1">
        <v>8</v>
      </c>
      <c r="K50" s="1" t="s">
        <v>247</v>
      </c>
      <c r="L50" s="1">
        <v>148300</v>
      </c>
      <c r="M50" s="1" t="s">
        <v>248</v>
      </c>
      <c r="N50" s="1" t="s">
        <v>176</v>
      </c>
      <c r="O50" s="21">
        <v>1555.28</v>
      </c>
      <c r="P50" s="1" t="s">
        <v>249</v>
      </c>
    </row>
    <row r="51" spans="1:16" x14ac:dyDescent="0.2">
      <c r="A51" s="1" t="s">
        <v>170</v>
      </c>
      <c r="B51" s="1" t="s">
        <v>172</v>
      </c>
      <c r="C51" s="1">
        <v>1995</v>
      </c>
      <c r="D51" s="1">
        <v>1995</v>
      </c>
      <c r="E51" s="1">
        <v>1995</v>
      </c>
      <c r="F51" s="1" t="s">
        <v>173</v>
      </c>
      <c r="G51" s="1" t="s">
        <v>244</v>
      </c>
      <c r="H51" s="1" t="s">
        <v>250</v>
      </c>
      <c r="I51" s="1" t="s">
        <v>251</v>
      </c>
      <c r="J51" s="1">
        <v>5000</v>
      </c>
      <c r="K51" s="1" t="s">
        <v>252</v>
      </c>
      <c r="L51" s="1" t="s">
        <v>176</v>
      </c>
      <c r="M51" s="1" t="s">
        <v>176</v>
      </c>
      <c r="N51" s="1" t="s">
        <v>176</v>
      </c>
      <c r="O51" s="21">
        <v>1.63</v>
      </c>
      <c r="P51" s="1" t="s">
        <v>254</v>
      </c>
    </row>
    <row r="52" spans="1:16" x14ac:dyDescent="0.2">
      <c r="A52" s="1" t="s">
        <v>170</v>
      </c>
      <c r="B52" s="1" t="s">
        <v>172</v>
      </c>
      <c r="C52" s="1">
        <v>1995</v>
      </c>
      <c r="D52" s="1">
        <v>1995</v>
      </c>
      <c r="E52" s="1">
        <v>1995</v>
      </c>
      <c r="F52" s="1" t="s">
        <v>173</v>
      </c>
      <c r="G52" s="1" t="s">
        <v>244</v>
      </c>
      <c r="H52" s="1" t="s">
        <v>250</v>
      </c>
      <c r="I52" s="1" t="s">
        <v>251</v>
      </c>
      <c r="J52" s="22">
        <v>35000</v>
      </c>
      <c r="K52" s="1" t="s">
        <v>252</v>
      </c>
      <c r="L52" s="1" t="s">
        <v>176</v>
      </c>
      <c r="M52" s="1" t="s">
        <v>176</v>
      </c>
      <c r="N52" s="1" t="s">
        <v>176</v>
      </c>
      <c r="O52" s="21">
        <v>0.56000000000000005</v>
      </c>
      <c r="P52" s="1" t="s">
        <v>254</v>
      </c>
    </row>
    <row r="53" spans="1:16" x14ac:dyDescent="0.2">
      <c r="A53" s="1" t="s">
        <v>170</v>
      </c>
      <c r="B53" s="1" t="s">
        <v>172</v>
      </c>
      <c r="C53" s="1">
        <v>1995</v>
      </c>
      <c r="D53" s="1">
        <v>1995</v>
      </c>
      <c r="E53" s="1">
        <v>1995</v>
      </c>
      <c r="F53" s="1" t="s">
        <v>173</v>
      </c>
      <c r="G53" s="1" t="s">
        <v>244</v>
      </c>
      <c r="H53" s="1" t="s">
        <v>250</v>
      </c>
      <c r="I53" s="1" t="s">
        <v>251</v>
      </c>
      <c r="J53" s="1" t="s">
        <v>253</v>
      </c>
      <c r="K53" s="1" t="s">
        <v>252</v>
      </c>
      <c r="L53" s="1" t="s">
        <v>176</v>
      </c>
      <c r="M53" s="1" t="s">
        <v>176</v>
      </c>
      <c r="N53" s="1" t="s">
        <v>176</v>
      </c>
      <c r="O53" s="21">
        <v>0.38</v>
      </c>
      <c r="P53" s="1" t="s">
        <v>254</v>
      </c>
    </row>
    <row r="54" spans="1:16" x14ac:dyDescent="0.2">
      <c r="A54" s="1" t="s">
        <v>170</v>
      </c>
      <c r="B54" s="1" t="s">
        <v>172</v>
      </c>
      <c r="C54" s="1">
        <v>1995</v>
      </c>
      <c r="D54" s="1">
        <v>1995</v>
      </c>
      <c r="E54" s="1">
        <v>1995</v>
      </c>
      <c r="F54" s="1" t="s">
        <v>173</v>
      </c>
      <c r="G54" s="1" t="s">
        <v>255</v>
      </c>
      <c r="H54" s="1" t="s">
        <v>245</v>
      </c>
      <c r="I54" s="1" t="s">
        <v>256</v>
      </c>
      <c r="J54" s="1" t="s">
        <v>229</v>
      </c>
      <c r="K54" s="1" t="s">
        <v>258</v>
      </c>
      <c r="L54" s="1" t="s">
        <v>176</v>
      </c>
      <c r="M54" s="1" t="s">
        <v>176</v>
      </c>
      <c r="N54" s="1" t="s">
        <v>176</v>
      </c>
      <c r="O54" s="21">
        <v>120</v>
      </c>
      <c r="P54" s="1" t="s">
        <v>259</v>
      </c>
    </row>
    <row r="55" spans="1:16" x14ac:dyDescent="0.2">
      <c r="A55" s="1" t="s">
        <v>170</v>
      </c>
      <c r="B55" s="1" t="s">
        <v>172</v>
      </c>
      <c r="C55" s="1">
        <v>1995</v>
      </c>
      <c r="D55" s="1">
        <v>1995</v>
      </c>
      <c r="E55" s="1">
        <v>1995</v>
      </c>
      <c r="F55" s="1" t="s">
        <v>173</v>
      </c>
      <c r="G55" s="1" t="s">
        <v>255</v>
      </c>
      <c r="H55" s="1" t="s">
        <v>245</v>
      </c>
      <c r="I55" s="1" t="s">
        <v>256</v>
      </c>
      <c r="J55" s="1" t="s">
        <v>257</v>
      </c>
      <c r="K55" s="1" t="s">
        <v>258</v>
      </c>
      <c r="L55" s="1" t="s">
        <v>176</v>
      </c>
      <c r="M55" s="1" t="s">
        <v>176</v>
      </c>
      <c r="N55" s="1" t="s">
        <v>176</v>
      </c>
      <c r="O55" s="21">
        <v>120</v>
      </c>
      <c r="P55" s="1" t="s">
        <v>259</v>
      </c>
    </row>
    <row r="56" spans="1:16" x14ac:dyDescent="0.2">
      <c r="A56" s="1" t="s">
        <v>170</v>
      </c>
      <c r="B56" s="1" t="s">
        <v>172</v>
      </c>
      <c r="C56" s="1">
        <v>1995</v>
      </c>
      <c r="D56" s="1">
        <v>1995</v>
      </c>
      <c r="E56" s="1">
        <v>1995</v>
      </c>
      <c r="F56" s="1" t="s">
        <v>173</v>
      </c>
      <c r="G56" s="1" t="s">
        <v>255</v>
      </c>
      <c r="H56" s="1" t="s">
        <v>260</v>
      </c>
      <c r="I56" s="1" t="s">
        <v>261</v>
      </c>
      <c r="J56" s="1">
        <v>2</v>
      </c>
      <c r="K56" s="1" t="s">
        <v>247</v>
      </c>
      <c r="L56" s="1" t="s">
        <v>176</v>
      </c>
      <c r="M56" s="1" t="s">
        <v>176</v>
      </c>
      <c r="N56" s="1" t="s">
        <v>176</v>
      </c>
      <c r="O56" s="21">
        <v>236</v>
      </c>
      <c r="P56" s="1" t="s">
        <v>262</v>
      </c>
    </row>
    <row r="57" spans="1:16" x14ac:dyDescent="0.2">
      <c r="A57" s="1" t="s">
        <v>170</v>
      </c>
      <c r="B57" s="1" t="s">
        <v>172</v>
      </c>
      <c r="C57" s="1">
        <v>1995</v>
      </c>
      <c r="D57" s="1">
        <v>1995</v>
      </c>
      <c r="E57" s="1">
        <v>1995</v>
      </c>
      <c r="F57" s="1" t="s">
        <v>173</v>
      </c>
      <c r="G57" s="1" t="s">
        <v>255</v>
      </c>
      <c r="H57" s="1" t="s">
        <v>260</v>
      </c>
      <c r="I57" s="1" t="s">
        <v>261</v>
      </c>
      <c r="J57" s="1">
        <v>3</v>
      </c>
      <c r="K57" s="1" t="s">
        <v>247</v>
      </c>
      <c r="L57" s="1" t="s">
        <v>176</v>
      </c>
      <c r="M57" s="1" t="s">
        <v>176</v>
      </c>
      <c r="N57" s="1" t="s">
        <v>176</v>
      </c>
      <c r="O57" s="21">
        <v>405</v>
      </c>
      <c r="P57" s="1" t="s">
        <v>262</v>
      </c>
    </row>
    <row r="58" spans="1:16" x14ac:dyDescent="0.2">
      <c r="A58" s="1" t="s">
        <v>170</v>
      </c>
      <c r="B58" s="1" t="s">
        <v>172</v>
      </c>
      <c r="C58" s="1">
        <v>1995</v>
      </c>
      <c r="D58" s="1">
        <v>1995</v>
      </c>
      <c r="E58" s="1">
        <v>1995</v>
      </c>
      <c r="F58" s="1" t="s">
        <v>173</v>
      </c>
      <c r="G58" s="1" t="s">
        <v>255</v>
      </c>
      <c r="H58" s="1" t="s">
        <v>260</v>
      </c>
      <c r="I58" s="1" t="s">
        <v>261</v>
      </c>
      <c r="J58" s="1">
        <v>4</v>
      </c>
      <c r="K58" s="1" t="s">
        <v>247</v>
      </c>
      <c r="L58" s="1" t="s">
        <v>176</v>
      </c>
      <c r="M58" s="1" t="s">
        <v>176</v>
      </c>
      <c r="N58" s="1" t="s">
        <v>176</v>
      </c>
      <c r="O58" s="21">
        <v>540</v>
      </c>
      <c r="P58" s="1" t="s">
        <v>262</v>
      </c>
    </row>
    <row r="59" spans="1:16" x14ac:dyDescent="0.2">
      <c r="A59" s="1" t="s">
        <v>170</v>
      </c>
      <c r="B59" s="1" t="s">
        <v>172</v>
      </c>
      <c r="C59" s="1">
        <v>1995</v>
      </c>
      <c r="D59" s="1">
        <v>1995</v>
      </c>
      <c r="E59" s="1">
        <v>1995</v>
      </c>
      <c r="F59" s="1" t="s">
        <v>173</v>
      </c>
      <c r="G59" s="1" t="s">
        <v>255</v>
      </c>
      <c r="H59" s="1" t="s">
        <v>260</v>
      </c>
      <c r="I59" s="1" t="s">
        <v>261</v>
      </c>
      <c r="J59" s="1">
        <v>6</v>
      </c>
      <c r="K59" s="1" t="s">
        <v>247</v>
      </c>
      <c r="L59" s="1" t="s">
        <v>176</v>
      </c>
      <c r="M59" s="1" t="s">
        <v>176</v>
      </c>
      <c r="N59" s="1" t="s">
        <v>176</v>
      </c>
      <c r="O59" s="21">
        <v>827</v>
      </c>
      <c r="P59" s="1" t="s">
        <v>262</v>
      </c>
    </row>
    <row r="60" spans="1:16" x14ac:dyDescent="0.2">
      <c r="A60" s="1" t="s">
        <v>170</v>
      </c>
      <c r="B60" s="1" t="s">
        <v>172</v>
      </c>
      <c r="C60" s="1">
        <v>1995</v>
      </c>
      <c r="D60" s="1">
        <v>1995</v>
      </c>
      <c r="E60" s="1">
        <v>1995</v>
      </c>
      <c r="F60" s="1" t="s">
        <v>173</v>
      </c>
      <c r="G60" s="1" t="s">
        <v>255</v>
      </c>
      <c r="H60" s="1" t="s">
        <v>260</v>
      </c>
      <c r="I60" s="1" t="s">
        <v>261</v>
      </c>
      <c r="J60" s="1">
        <v>8</v>
      </c>
      <c r="K60" s="1" t="s">
        <v>247</v>
      </c>
      <c r="L60" s="1" t="s">
        <v>176</v>
      </c>
      <c r="M60" s="1" t="s">
        <v>176</v>
      </c>
      <c r="N60" s="1" t="s">
        <v>176</v>
      </c>
      <c r="O60" s="21">
        <v>1118</v>
      </c>
      <c r="P60" s="1" t="s">
        <v>262</v>
      </c>
    </row>
    <row r="61" spans="1:16" x14ac:dyDescent="0.2">
      <c r="A61" s="1" t="s">
        <v>170</v>
      </c>
      <c r="B61" s="1" t="s">
        <v>172</v>
      </c>
      <c r="C61" s="1">
        <v>1995</v>
      </c>
      <c r="D61" s="1">
        <v>1995</v>
      </c>
      <c r="E61" s="1">
        <v>1991</v>
      </c>
      <c r="F61" s="1" t="s">
        <v>173</v>
      </c>
      <c r="G61" s="1" t="s">
        <v>255</v>
      </c>
      <c r="H61" s="1" t="s">
        <v>263</v>
      </c>
      <c r="I61" s="1" t="s">
        <v>264</v>
      </c>
      <c r="J61" s="1" t="s">
        <v>176</v>
      </c>
      <c r="K61" s="1" t="s">
        <v>176</v>
      </c>
      <c r="L61" s="1" t="s">
        <v>176</v>
      </c>
      <c r="M61" s="1" t="s">
        <v>176</v>
      </c>
      <c r="N61" s="1" t="s">
        <v>176</v>
      </c>
      <c r="O61" s="21">
        <v>2000</v>
      </c>
      <c r="P61" s="1" t="s">
        <v>265</v>
      </c>
    </row>
    <row r="62" spans="1:16" x14ac:dyDescent="0.2">
      <c r="A62" s="1" t="s">
        <v>170</v>
      </c>
      <c r="B62" s="1" t="s">
        <v>172</v>
      </c>
      <c r="C62" s="1">
        <v>1998</v>
      </c>
      <c r="D62" s="1">
        <v>1998</v>
      </c>
      <c r="E62" s="1">
        <v>1995</v>
      </c>
      <c r="F62" s="1" t="s">
        <v>173</v>
      </c>
      <c r="G62" s="1" t="s">
        <v>244</v>
      </c>
      <c r="H62" s="1" t="s">
        <v>245</v>
      </c>
      <c r="I62" s="1" t="s">
        <v>246</v>
      </c>
      <c r="J62" s="1">
        <v>0.625</v>
      </c>
      <c r="K62" s="1" t="s">
        <v>247</v>
      </c>
      <c r="L62" s="1">
        <v>1200</v>
      </c>
      <c r="M62" s="1" t="s">
        <v>248</v>
      </c>
      <c r="N62" s="1" t="s">
        <v>176</v>
      </c>
      <c r="O62" s="21">
        <v>23.31</v>
      </c>
      <c r="P62" s="1" t="s">
        <v>249</v>
      </c>
    </row>
    <row r="63" spans="1:16" x14ac:dyDescent="0.2">
      <c r="A63" s="1" t="s">
        <v>170</v>
      </c>
      <c r="B63" s="1" t="s">
        <v>172</v>
      </c>
      <c r="C63" s="1">
        <v>1998</v>
      </c>
      <c r="D63" s="1">
        <v>1998</v>
      </c>
      <c r="E63" s="1">
        <v>1995</v>
      </c>
      <c r="F63" s="1" t="s">
        <v>173</v>
      </c>
      <c r="G63" s="1" t="s">
        <v>244</v>
      </c>
      <c r="H63" s="1" t="s">
        <v>245</v>
      </c>
      <c r="I63" s="1" t="s">
        <v>246</v>
      </c>
      <c r="J63" s="1">
        <v>0.75</v>
      </c>
      <c r="K63" s="1" t="s">
        <v>247</v>
      </c>
      <c r="L63" s="1">
        <v>1800</v>
      </c>
      <c r="M63" s="1" t="s">
        <v>248</v>
      </c>
      <c r="N63" s="1" t="s">
        <v>176</v>
      </c>
      <c r="O63" s="21">
        <v>32.85</v>
      </c>
      <c r="P63" s="1" t="s">
        <v>249</v>
      </c>
    </row>
    <row r="64" spans="1:16" x14ac:dyDescent="0.2">
      <c r="A64" s="1" t="s">
        <v>170</v>
      </c>
      <c r="B64" s="1" t="s">
        <v>172</v>
      </c>
      <c r="C64" s="1">
        <v>1998</v>
      </c>
      <c r="D64" s="1">
        <v>1998</v>
      </c>
      <c r="E64" s="1">
        <v>1998</v>
      </c>
      <c r="F64" s="1" t="s">
        <v>173</v>
      </c>
      <c r="G64" s="1" t="s">
        <v>244</v>
      </c>
      <c r="H64" s="1" t="s">
        <v>245</v>
      </c>
      <c r="I64" s="1" t="s">
        <v>246</v>
      </c>
      <c r="J64" s="1">
        <v>1</v>
      </c>
      <c r="K64" s="1" t="s">
        <v>247</v>
      </c>
      <c r="L64" s="1">
        <v>3900</v>
      </c>
      <c r="M64" s="1" t="s">
        <v>248</v>
      </c>
      <c r="N64" s="1" t="s">
        <v>176</v>
      </c>
      <c r="O64" s="21">
        <v>68.25</v>
      </c>
      <c r="P64" s="1" t="s">
        <v>249</v>
      </c>
    </row>
    <row r="65" spans="1:16" x14ac:dyDescent="0.2">
      <c r="A65" s="1" t="s">
        <v>170</v>
      </c>
      <c r="B65" s="1" t="s">
        <v>172</v>
      </c>
      <c r="C65" s="1">
        <v>1998</v>
      </c>
      <c r="D65" s="1">
        <v>1998</v>
      </c>
      <c r="E65" s="1">
        <v>1998</v>
      </c>
      <c r="F65" s="1" t="s">
        <v>173</v>
      </c>
      <c r="G65" s="1" t="s">
        <v>244</v>
      </c>
      <c r="H65" s="1" t="s">
        <v>245</v>
      </c>
      <c r="I65" s="1" t="s">
        <v>246</v>
      </c>
      <c r="J65" s="1">
        <v>1.5</v>
      </c>
      <c r="K65" s="1" t="s">
        <v>247</v>
      </c>
      <c r="L65" s="1">
        <v>8300</v>
      </c>
      <c r="M65" s="1" t="s">
        <v>248</v>
      </c>
      <c r="N65" s="1" t="s">
        <v>176</v>
      </c>
      <c r="O65" s="21">
        <v>145.26</v>
      </c>
      <c r="P65" s="1" t="s">
        <v>249</v>
      </c>
    </row>
    <row r="66" spans="1:16" x14ac:dyDescent="0.2">
      <c r="A66" s="1" t="s">
        <v>170</v>
      </c>
      <c r="B66" s="1" t="s">
        <v>172</v>
      </c>
      <c r="C66" s="1">
        <v>1998</v>
      </c>
      <c r="D66" s="1">
        <v>1998</v>
      </c>
      <c r="E66" s="1">
        <v>1998</v>
      </c>
      <c r="F66" s="1" t="s">
        <v>173</v>
      </c>
      <c r="G66" s="1" t="s">
        <v>244</v>
      </c>
      <c r="H66" s="1" t="s">
        <v>245</v>
      </c>
      <c r="I66" s="1" t="s">
        <v>246</v>
      </c>
      <c r="J66" s="1">
        <v>2</v>
      </c>
      <c r="K66" s="1" t="s">
        <v>247</v>
      </c>
      <c r="L66" s="1">
        <v>12700</v>
      </c>
      <c r="M66" s="1" t="s">
        <v>248</v>
      </c>
      <c r="N66" s="1" t="s">
        <v>176</v>
      </c>
      <c r="O66" s="21">
        <v>222.24</v>
      </c>
      <c r="P66" s="1" t="s">
        <v>249</v>
      </c>
    </row>
    <row r="67" spans="1:16" x14ac:dyDescent="0.2">
      <c r="A67" s="1" t="s">
        <v>170</v>
      </c>
      <c r="B67" s="1" t="s">
        <v>172</v>
      </c>
      <c r="C67" s="1">
        <v>1998</v>
      </c>
      <c r="D67" s="1">
        <v>1998</v>
      </c>
      <c r="E67" s="1">
        <v>1998</v>
      </c>
      <c r="F67" s="1" t="s">
        <v>173</v>
      </c>
      <c r="G67" s="1" t="s">
        <v>244</v>
      </c>
      <c r="H67" s="1" t="s">
        <v>245</v>
      </c>
      <c r="I67" s="1" t="s">
        <v>246</v>
      </c>
      <c r="J67" s="1">
        <v>3</v>
      </c>
      <c r="K67" s="1" t="s">
        <v>247</v>
      </c>
      <c r="L67" s="1">
        <v>24100</v>
      </c>
      <c r="M67" s="1" t="s">
        <v>248</v>
      </c>
      <c r="N67" s="1" t="s">
        <v>176</v>
      </c>
      <c r="O67" s="21">
        <v>421.74</v>
      </c>
      <c r="P67" s="1" t="s">
        <v>249</v>
      </c>
    </row>
    <row r="68" spans="1:16" x14ac:dyDescent="0.2">
      <c r="A68" s="1" t="s">
        <v>170</v>
      </c>
      <c r="B68" s="1" t="s">
        <v>172</v>
      </c>
      <c r="C68" s="1">
        <v>1998</v>
      </c>
      <c r="D68" s="1">
        <v>1998</v>
      </c>
      <c r="E68" s="1">
        <v>1998</v>
      </c>
      <c r="F68" s="1" t="s">
        <v>173</v>
      </c>
      <c r="G68" s="1" t="s">
        <v>244</v>
      </c>
      <c r="H68" s="1" t="s">
        <v>245</v>
      </c>
      <c r="I68" s="1" t="s">
        <v>246</v>
      </c>
      <c r="J68" s="1">
        <v>4</v>
      </c>
      <c r="K68" s="1" t="s">
        <v>247</v>
      </c>
      <c r="L68" s="1">
        <v>34100</v>
      </c>
      <c r="M68" s="1" t="s">
        <v>248</v>
      </c>
      <c r="N68" s="1" t="s">
        <v>176</v>
      </c>
      <c r="O68" s="21">
        <v>596.76</v>
      </c>
      <c r="P68" s="1" t="s">
        <v>249</v>
      </c>
    </row>
    <row r="69" spans="1:16" x14ac:dyDescent="0.2">
      <c r="A69" s="1" t="s">
        <v>170</v>
      </c>
      <c r="B69" s="1" t="s">
        <v>172</v>
      </c>
      <c r="C69" s="1">
        <v>1998</v>
      </c>
      <c r="D69" s="1">
        <v>1998</v>
      </c>
      <c r="E69" s="1">
        <v>1998</v>
      </c>
      <c r="F69" s="1" t="s">
        <v>173</v>
      </c>
      <c r="G69" s="1" t="s">
        <v>244</v>
      </c>
      <c r="H69" s="1" t="s">
        <v>245</v>
      </c>
      <c r="I69" s="1" t="s">
        <v>246</v>
      </c>
      <c r="J69" s="1">
        <v>6</v>
      </c>
      <c r="K69" s="1" t="s">
        <v>247</v>
      </c>
      <c r="L69" s="1">
        <v>65000</v>
      </c>
      <c r="M69" s="1" t="s">
        <v>248</v>
      </c>
      <c r="N69" s="1" t="s">
        <v>176</v>
      </c>
      <c r="O69" s="21">
        <v>1137.51</v>
      </c>
      <c r="P69" s="1" t="s">
        <v>249</v>
      </c>
    </row>
    <row r="70" spans="1:16" x14ac:dyDescent="0.2">
      <c r="A70" s="1" t="s">
        <v>170</v>
      </c>
      <c r="B70" s="1" t="s">
        <v>172</v>
      </c>
      <c r="C70" s="1">
        <v>1998</v>
      </c>
      <c r="D70" s="1">
        <v>1998</v>
      </c>
      <c r="E70" s="1">
        <v>1998</v>
      </c>
      <c r="F70" s="1" t="s">
        <v>173</v>
      </c>
      <c r="G70" s="1" t="s">
        <v>244</v>
      </c>
      <c r="H70" s="1" t="s">
        <v>245</v>
      </c>
      <c r="I70" s="1" t="s">
        <v>246</v>
      </c>
      <c r="J70" s="1">
        <v>8</v>
      </c>
      <c r="K70" s="1" t="s">
        <v>247</v>
      </c>
      <c r="L70" s="1">
        <v>148300</v>
      </c>
      <c r="M70" s="1" t="s">
        <v>248</v>
      </c>
      <c r="N70" s="1" t="s">
        <v>176</v>
      </c>
      <c r="O70" s="21">
        <v>2595.2399999999998</v>
      </c>
      <c r="P70" s="1" t="s">
        <v>249</v>
      </c>
    </row>
    <row r="71" spans="1:16" x14ac:dyDescent="0.2">
      <c r="A71" s="1" t="s">
        <v>170</v>
      </c>
      <c r="B71" s="1" t="s">
        <v>172</v>
      </c>
      <c r="C71" s="1">
        <v>1998</v>
      </c>
      <c r="D71" s="1">
        <v>1998</v>
      </c>
      <c r="E71" s="1">
        <v>1996</v>
      </c>
      <c r="F71" s="1" t="s">
        <v>173</v>
      </c>
      <c r="G71" s="1" t="s">
        <v>244</v>
      </c>
      <c r="H71" s="1" t="s">
        <v>250</v>
      </c>
      <c r="I71" s="1" t="s">
        <v>251</v>
      </c>
      <c r="J71" s="1">
        <v>5000</v>
      </c>
      <c r="K71" s="1" t="s">
        <v>252</v>
      </c>
      <c r="L71" s="1" t="s">
        <v>176</v>
      </c>
      <c r="M71" s="1" t="s">
        <v>176</v>
      </c>
      <c r="N71" s="1" t="s">
        <v>176</v>
      </c>
      <c r="O71" s="21">
        <v>1.75</v>
      </c>
      <c r="P71" s="1" t="s">
        <v>254</v>
      </c>
    </row>
    <row r="72" spans="1:16" x14ac:dyDescent="0.2">
      <c r="A72" s="1" t="s">
        <v>170</v>
      </c>
      <c r="B72" s="1" t="s">
        <v>172</v>
      </c>
      <c r="C72" s="1">
        <v>1998</v>
      </c>
      <c r="D72" s="1">
        <v>1998</v>
      </c>
      <c r="E72" s="1">
        <v>1996</v>
      </c>
      <c r="F72" s="1" t="s">
        <v>173</v>
      </c>
      <c r="G72" s="1" t="s">
        <v>244</v>
      </c>
      <c r="H72" s="1" t="s">
        <v>250</v>
      </c>
      <c r="I72" s="1" t="s">
        <v>251</v>
      </c>
      <c r="J72" s="22">
        <v>35000</v>
      </c>
      <c r="K72" s="1" t="s">
        <v>252</v>
      </c>
      <c r="L72" s="1" t="s">
        <v>176</v>
      </c>
      <c r="M72" s="1" t="s">
        <v>176</v>
      </c>
      <c r="N72" s="1" t="s">
        <v>176</v>
      </c>
      <c r="O72" s="21">
        <v>1.5</v>
      </c>
      <c r="P72" s="1" t="s">
        <v>254</v>
      </c>
    </row>
    <row r="73" spans="1:16" x14ac:dyDescent="0.2">
      <c r="A73" s="1" t="s">
        <v>170</v>
      </c>
      <c r="B73" s="1" t="s">
        <v>172</v>
      </c>
      <c r="C73" s="1">
        <v>1998</v>
      </c>
      <c r="D73" s="1">
        <v>1998</v>
      </c>
      <c r="E73" s="1">
        <v>1996</v>
      </c>
      <c r="F73" s="1" t="s">
        <v>173</v>
      </c>
      <c r="G73" s="1" t="s">
        <v>244</v>
      </c>
      <c r="H73" s="1" t="s">
        <v>250</v>
      </c>
      <c r="I73" s="1" t="s">
        <v>251</v>
      </c>
      <c r="J73" s="1" t="s">
        <v>253</v>
      </c>
      <c r="K73" s="1" t="s">
        <v>252</v>
      </c>
      <c r="L73" s="1" t="s">
        <v>176</v>
      </c>
      <c r="M73" s="1" t="s">
        <v>176</v>
      </c>
      <c r="N73" s="1" t="s">
        <v>176</v>
      </c>
      <c r="O73" s="21">
        <v>1.35</v>
      </c>
      <c r="P73" s="1" t="s">
        <v>254</v>
      </c>
    </row>
    <row r="74" spans="1:16" x14ac:dyDescent="0.2">
      <c r="A74" s="1" t="s">
        <v>170</v>
      </c>
      <c r="B74" s="1" t="s">
        <v>172</v>
      </c>
      <c r="C74" s="1">
        <v>1998</v>
      </c>
      <c r="D74" s="1">
        <v>1998</v>
      </c>
      <c r="E74" s="1">
        <v>1995</v>
      </c>
      <c r="F74" s="1" t="s">
        <v>173</v>
      </c>
      <c r="G74" s="1" t="s">
        <v>255</v>
      </c>
      <c r="H74" s="1" t="s">
        <v>245</v>
      </c>
      <c r="I74" s="1" t="s">
        <v>256</v>
      </c>
      <c r="J74" s="1" t="s">
        <v>229</v>
      </c>
      <c r="K74" s="1" t="s">
        <v>258</v>
      </c>
      <c r="L74" s="1" t="s">
        <v>176</v>
      </c>
      <c r="M74" s="1" t="s">
        <v>176</v>
      </c>
      <c r="N74" s="1" t="s">
        <v>176</v>
      </c>
      <c r="O74" s="21">
        <v>120</v>
      </c>
      <c r="P74" s="1" t="s">
        <v>259</v>
      </c>
    </row>
    <row r="75" spans="1:16" x14ac:dyDescent="0.2">
      <c r="A75" s="1" t="s">
        <v>170</v>
      </c>
      <c r="B75" s="1" t="s">
        <v>172</v>
      </c>
      <c r="C75" s="1">
        <v>1998</v>
      </c>
      <c r="D75" s="1">
        <v>1998</v>
      </c>
      <c r="E75" s="1">
        <v>1995</v>
      </c>
      <c r="F75" s="1" t="s">
        <v>173</v>
      </c>
      <c r="G75" s="1" t="s">
        <v>255</v>
      </c>
      <c r="H75" s="1" t="s">
        <v>245</v>
      </c>
      <c r="I75" s="1" t="s">
        <v>256</v>
      </c>
      <c r="J75" s="1" t="s">
        <v>257</v>
      </c>
      <c r="K75" s="1" t="s">
        <v>258</v>
      </c>
      <c r="L75" s="1" t="s">
        <v>176</v>
      </c>
      <c r="M75" s="1" t="s">
        <v>176</v>
      </c>
      <c r="N75" s="1" t="s">
        <v>176</v>
      </c>
      <c r="O75" s="21">
        <v>120</v>
      </c>
      <c r="P75" s="1" t="s">
        <v>259</v>
      </c>
    </row>
    <row r="76" spans="1:16" x14ac:dyDescent="0.2">
      <c r="A76" s="1" t="s">
        <v>170</v>
      </c>
      <c r="B76" s="1" t="s">
        <v>172</v>
      </c>
      <c r="C76" s="1">
        <v>1998</v>
      </c>
      <c r="D76" s="1">
        <v>1998</v>
      </c>
      <c r="E76" s="1">
        <v>1996</v>
      </c>
      <c r="F76" s="1" t="s">
        <v>173</v>
      </c>
      <c r="G76" s="1" t="s">
        <v>255</v>
      </c>
      <c r="H76" s="1" t="s">
        <v>260</v>
      </c>
      <c r="I76" s="1" t="s">
        <v>261</v>
      </c>
      <c r="J76" s="1">
        <v>2</v>
      </c>
      <c r="K76" s="1" t="s">
        <v>247</v>
      </c>
      <c r="L76" s="1" t="s">
        <v>176</v>
      </c>
      <c r="M76" s="1" t="s">
        <v>176</v>
      </c>
      <c r="N76" s="1" t="s">
        <v>176</v>
      </c>
      <c r="O76" s="21">
        <v>248</v>
      </c>
      <c r="P76" s="1" t="s">
        <v>262</v>
      </c>
    </row>
    <row r="77" spans="1:16" x14ac:dyDescent="0.2">
      <c r="A77" s="1" t="s">
        <v>170</v>
      </c>
      <c r="B77" s="1" t="s">
        <v>172</v>
      </c>
      <c r="C77" s="1">
        <v>1998</v>
      </c>
      <c r="D77" s="1">
        <v>1998</v>
      </c>
      <c r="E77" s="1">
        <v>1996</v>
      </c>
      <c r="F77" s="1" t="s">
        <v>173</v>
      </c>
      <c r="G77" s="1" t="s">
        <v>255</v>
      </c>
      <c r="H77" s="1" t="s">
        <v>260</v>
      </c>
      <c r="I77" s="1" t="s">
        <v>261</v>
      </c>
      <c r="J77" s="1">
        <v>3</v>
      </c>
      <c r="K77" s="1" t="s">
        <v>247</v>
      </c>
      <c r="L77" s="1" t="s">
        <v>176</v>
      </c>
      <c r="M77" s="1" t="s">
        <v>176</v>
      </c>
      <c r="N77" s="1" t="s">
        <v>176</v>
      </c>
      <c r="O77" s="21">
        <v>425</v>
      </c>
      <c r="P77" s="1" t="s">
        <v>262</v>
      </c>
    </row>
    <row r="78" spans="1:16" x14ac:dyDescent="0.2">
      <c r="A78" s="1" t="s">
        <v>170</v>
      </c>
      <c r="B78" s="1" t="s">
        <v>172</v>
      </c>
      <c r="C78" s="1">
        <v>1998</v>
      </c>
      <c r="D78" s="1">
        <v>1998</v>
      </c>
      <c r="E78" s="1">
        <v>1996</v>
      </c>
      <c r="F78" s="1" t="s">
        <v>173</v>
      </c>
      <c r="G78" s="1" t="s">
        <v>255</v>
      </c>
      <c r="H78" s="1" t="s">
        <v>260</v>
      </c>
      <c r="I78" s="1" t="s">
        <v>261</v>
      </c>
      <c r="J78" s="1">
        <v>4</v>
      </c>
      <c r="K78" s="1" t="s">
        <v>247</v>
      </c>
      <c r="L78" s="1" t="s">
        <v>176</v>
      </c>
      <c r="M78" s="1" t="s">
        <v>176</v>
      </c>
      <c r="N78" s="1" t="s">
        <v>176</v>
      </c>
      <c r="O78" s="21">
        <v>567</v>
      </c>
      <c r="P78" s="1" t="s">
        <v>262</v>
      </c>
    </row>
    <row r="79" spans="1:16" x14ac:dyDescent="0.2">
      <c r="A79" s="1" t="s">
        <v>170</v>
      </c>
      <c r="B79" s="1" t="s">
        <v>172</v>
      </c>
      <c r="C79" s="1">
        <v>1998</v>
      </c>
      <c r="D79" s="1">
        <v>1998</v>
      </c>
      <c r="E79" s="1">
        <v>1996</v>
      </c>
      <c r="F79" s="1" t="s">
        <v>173</v>
      </c>
      <c r="G79" s="1" t="s">
        <v>255</v>
      </c>
      <c r="H79" s="1" t="s">
        <v>260</v>
      </c>
      <c r="I79" s="1" t="s">
        <v>261</v>
      </c>
      <c r="J79" s="1">
        <v>6</v>
      </c>
      <c r="K79" s="1" t="s">
        <v>247</v>
      </c>
      <c r="L79" s="1" t="s">
        <v>176</v>
      </c>
      <c r="M79" s="1" t="s">
        <v>176</v>
      </c>
      <c r="N79" s="1" t="s">
        <v>176</v>
      </c>
      <c r="O79" s="21">
        <v>868</v>
      </c>
      <c r="P79" s="1" t="s">
        <v>262</v>
      </c>
    </row>
    <row r="80" spans="1:16" x14ac:dyDescent="0.2">
      <c r="A80" s="1" t="s">
        <v>170</v>
      </c>
      <c r="B80" s="1" t="s">
        <v>172</v>
      </c>
      <c r="C80" s="1">
        <v>1998</v>
      </c>
      <c r="D80" s="1">
        <v>1998</v>
      </c>
      <c r="E80" s="1">
        <v>1996</v>
      </c>
      <c r="F80" s="1" t="s">
        <v>173</v>
      </c>
      <c r="G80" s="1" t="s">
        <v>255</v>
      </c>
      <c r="H80" s="1" t="s">
        <v>260</v>
      </c>
      <c r="I80" s="1" t="s">
        <v>261</v>
      </c>
      <c r="J80" s="1">
        <v>8</v>
      </c>
      <c r="K80" s="1" t="s">
        <v>247</v>
      </c>
      <c r="L80" s="1" t="s">
        <v>176</v>
      </c>
      <c r="M80" s="1" t="s">
        <v>176</v>
      </c>
      <c r="N80" s="1" t="s">
        <v>176</v>
      </c>
      <c r="O80" s="21">
        <v>1174</v>
      </c>
      <c r="P80" s="1" t="s">
        <v>262</v>
      </c>
    </row>
    <row r="81" spans="1:16" x14ac:dyDescent="0.2">
      <c r="A81" s="1" t="s">
        <v>170</v>
      </c>
      <c r="B81" s="1" t="s">
        <v>172</v>
      </c>
      <c r="C81" s="1">
        <v>2002</v>
      </c>
      <c r="D81" s="1">
        <v>2003</v>
      </c>
      <c r="E81" s="1">
        <v>2003</v>
      </c>
      <c r="F81" s="1" t="s">
        <v>173</v>
      </c>
      <c r="G81" s="1" t="s">
        <v>244</v>
      </c>
      <c r="H81" s="1" t="s">
        <v>245</v>
      </c>
      <c r="I81" s="1" t="s">
        <v>246</v>
      </c>
      <c r="J81" s="1">
        <v>0.625</v>
      </c>
      <c r="K81" s="1" t="s">
        <v>247</v>
      </c>
      <c r="L81" s="1">
        <v>0</v>
      </c>
      <c r="M81" s="1" t="s">
        <v>248</v>
      </c>
      <c r="N81" s="1" t="s">
        <v>176</v>
      </c>
      <c r="O81" s="21">
        <v>14.71</v>
      </c>
      <c r="P81" s="1" t="s">
        <v>249</v>
      </c>
    </row>
    <row r="82" spans="1:16" x14ac:dyDescent="0.2">
      <c r="A82" s="1" t="s">
        <v>170</v>
      </c>
      <c r="B82" s="1" t="s">
        <v>172</v>
      </c>
      <c r="C82" s="1">
        <v>2002</v>
      </c>
      <c r="D82" s="1">
        <v>2003</v>
      </c>
      <c r="E82" s="1">
        <v>2003</v>
      </c>
      <c r="F82" s="1" t="s">
        <v>173</v>
      </c>
      <c r="G82" s="1" t="s">
        <v>244</v>
      </c>
      <c r="H82" s="1" t="s">
        <v>245</v>
      </c>
      <c r="I82" s="1" t="s">
        <v>246</v>
      </c>
      <c r="J82" s="1">
        <v>0.75</v>
      </c>
      <c r="K82" s="1" t="s">
        <v>247</v>
      </c>
      <c r="L82" s="1">
        <v>0</v>
      </c>
      <c r="M82" s="1" t="s">
        <v>248</v>
      </c>
      <c r="N82" s="1" t="s">
        <v>176</v>
      </c>
      <c r="O82" s="21">
        <v>14.71</v>
      </c>
      <c r="P82" s="1" t="s">
        <v>249</v>
      </c>
    </row>
    <row r="83" spans="1:16" x14ac:dyDescent="0.2">
      <c r="A83" s="1" t="s">
        <v>170</v>
      </c>
      <c r="B83" s="1" t="s">
        <v>172</v>
      </c>
      <c r="C83" s="1">
        <v>2002</v>
      </c>
      <c r="D83" s="1">
        <v>2003</v>
      </c>
      <c r="E83" s="1">
        <v>2003</v>
      </c>
      <c r="F83" s="1" t="s">
        <v>173</v>
      </c>
      <c r="G83" s="1" t="s">
        <v>244</v>
      </c>
      <c r="H83" s="1" t="s">
        <v>245</v>
      </c>
      <c r="I83" s="1" t="s">
        <v>246</v>
      </c>
      <c r="J83" s="1">
        <v>1</v>
      </c>
      <c r="K83" s="1" t="s">
        <v>247</v>
      </c>
      <c r="L83" s="1">
        <v>0</v>
      </c>
      <c r="M83" s="1" t="s">
        <v>248</v>
      </c>
      <c r="N83" s="1" t="s">
        <v>176</v>
      </c>
      <c r="O83" s="21">
        <v>29.48</v>
      </c>
      <c r="P83" s="1" t="s">
        <v>249</v>
      </c>
    </row>
    <row r="84" spans="1:16" x14ac:dyDescent="0.2">
      <c r="A84" s="1" t="s">
        <v>170</v>
      </c>
      <c r="B84" s="1" t="s">
        <v>172</v>
      </c>
      <c r="C84" s="1">
        <v>2002</v>
      </c>
      <c r="D84" s="1">
        <v>2003</v>
      </c>
      <c r="E84" s="1">
        <v>2003</v>
      </c>
      <c r="F84" s="1" t="s">
        <v>173</v>
      </c>
      <c r="G84" s="1" t="s">
        <v>244</v>
      </c>
      <c r="H84" s="1" t="s">
        <v>245</v>
      </c>
      <c r="I84" s="1" t="s">
        <v>246</v>
      </c>
      <c r="J84" s="1">
        <v>1.5</v>
      </c>
      <c r="K84" s="1" t="s">
        <v>247</v>
      </c>
      <c r="L84" s="1">
        <v>0</v>
      </c>
      <c r="M84" s="1" t="s">
        <v>248</v>
      </c>
      <c r="N84" s="1" t="s">
        <v>176</v>
      </c>
      <c r="O84" s="21">
        <v>57.61</v>
      </c>
      <c r="P84" s="1" t="s">
        <v>249</v>
      </c>
    </row>
    <row r="85" spans="1:16" x14ac:dyDescent="0.2">
      <c r="A85" s="1" t="s">
        <v>170</v>
      </c>
      <c r="B85" s="1" t="s">
        <v>172</v>
      </c>
      <c r="C85" s="1">
        <v>2002</v>
      </c>
      <c r="D85" s="1">
        <v>2003</v>
      </c>
      <c r="E85" s="1">
        <v>2003</v>
      </c>
      <c r="F85" s="1" t="s">
        <v>173</v>
      </c>
      <c r="G85" s="1" t="s">
        <v>244</v>
      </c>
      <c r="H85" s="1" t="s">
        <v>245</v>
      </c>
      <c r="I85" s="1" t="s">
        <v>246</v>
      </c>
      <c r="J85" s="1">
        <v>2</v>
      </c>
      <c r="K85" s="1" t="s">
        <v>247</v>
      </c>
      <c r="L85" s="1">
        <v>0</v>
      </c>
      <c r="M85" s="1" t="s">
        <v>248</v>
      </c>
      <c r="N85" s="1" t="s">
        <v>176</v>
      </c>
      <c r="O85" s="21">
        <v>85.81</v>
      </c>
      <c r="P85" s="1" t="s">
        <v>249</v>
      </c>
    </row>
    <row r="86" spans="1:16" x14ac:dyDescent="0.2">
      <c r="A86" s="1" t="s">
        <v>170</v>
      </c>
      <c r="B86" s="1" t="s">
        <v>172</v>
      </c>
      <c r="C86" s="1">
        <v>2002</v>
      </c>
      <c r="D86" s="1">
        <v>2003</v>
      </c>
      <c r="E86" s="1">
        <v>2003</v>
      </c>
      <c r="F86" s="1" t="s">
        <v>173</v>
      </c>
      <c r="G86" s="1" t="s">
        <v>244</v>
      </c>
      <c r="H86" s="1" t="s">
        <v>245</v>
      </c>
      <c r="I86" s="1" t="s">
        <v>246</v>
      </c>
      <c r="J86" s="1">
        <v>3</v>
      </c>
      <c r="K86" s="1" t="s">
        <v>247</v>
      </c>
      <c r="L86" s="1">
        <v>0</v>
      </c>
      <c r="M86" s="1" t="s">
        <v>248</v>
      </c>
      <c r="N86" s="1" t="s">
        <v>176</v>
      </c>
      <c r="O86" s="21">
        <v>178.99</v>
      </c>
      <c r="P86" s="1" t="s">
        <v>249</v>
      </c>
    </row>
    <row r="87" spans="1:16" x14ac:dyDescent="0.2">
      <c r="A87" s="1" t="s">
        <v>170</v>
      </c>
      <c r="B87" s="1" t="s">
        <v>172</v>
      </c>
      <c r="C87" s="1">
        <v>2002</v>
      </c>
      <c r="D87" s="1">
        <v>2003</v>
      </c>
      <c r="E87" s="1">
        <v>2003</v>
      </c>
      <c r="F87" s="1" t="s">
        <v>173</v>
      </c>
      <c r="G87" s="1" t="s">
        <v>244</v>
      </c>
      <c r="H87" s="1" t="s">
        <v>245</v>
      </c>
      <c r="I87" s="1" t="s">
        <v>246</v>
      </c>
      <c r="J87" s="1">
        <v>4</v>
      </c>
      <c r="K87" s="1" t="s">
        <v>247</v>
      </c>
      <c r="L87" s="1">
        <v>0</v>
      </c>
      <c r="M87" s="1" t="s">
        <v>248</v>
      </c>
      <c r="N87" s="1" t="s">
        <v>176</v>
      </c>
      <c r="O87" s="21">
        <v>262.33</v>
      </c>
      <c r="P87" s="1" t="s">
        <v>249</v>
      </c>
    </row>
    <row r="88" spans="1:16" x14ac:dyDescent="0.2">
      <c r="A88" s="1" t="s">
        <v>170</v>
      </c>
      <c r="B88" s="1" t="s">
        <v>172</v>
      </c>
      <c r="C88" s="1">
        <v>2002</v>
      </c>
      <c r="D88" s="1">
        <v>2003</v>
      </c>
      <c r="E88" s="1">
        <v>2003</v>
      </c>
      <c r="F88" s="1" t="s">
        <v>173</v>
      </c>
      <c r="G88" s="1" t="s">
        <v>244</v>
      </c>
      <c r="H88" s="1" t="s">
        <v>245</v>
      </c>
      <c r="I88" s="1" t="s">
        <v>246</v>
      </c>
      <c r="J88" s="1">
        <v>6</v>
      </c>
      <c r="K88" s="1" t="s">
        <v>247</v>
      </c>
      <c r="L88" s="1">
        <v>0</v>
      </c>
      <c r="M88" s="1" t="s">
        <v>248</v>
      </c>
      <c r="N88" s="1" t="s">
        <v>176</v>
      </c>
      <c r="O88" s="21">
        <v>491.52</v>
      </c>
      <c r="P88" s="1" t="s">
        <v>249</v>
      </c>
    </row>
    <row r="89" spans="1:16" x14ac:dyDescent="0.2">
      <c r="A89" s="1" t="s">
        <v>170</v>
      </c>
      <c r="B89" s="1" t="s">
        <v>172</v>
      </c>
      <c r="C89" s="1">
        <v>2002</v>
      </c>
      <c r="D89" s="1">
        <v>2003</v>
      </c>
      <c r="E89" s="1">
        <v>2003</v>
      </c>
      <c r="F89" s="1" t="s">
        <v>173</v>
      </c>
      <c r="G89" s="1" t="s">
        <v>244</v>
      </c>
      <c r="H89" s="1" t="s">
        <v>245</v>
      </c>
      <c r="I89" s="1" t="s">
        <v>246</v>
      </c>
      <c r="J89" s="1">
        <v>8</v>
      </c>
      <c r="K89" s="1" t="s">
        <v>247</v>
      </c>
      <c r="L89" s="1">
        <v>0</v>
      </c>
      <c r="M89" s="1" t="s">
        <v>248</v>
      </c>
      <c r="N89" s="1" t="s">
        <v>176</v>
      </c>
      <c r="O89" s="21">
        <v>763.69</v>
      </c>
      <c r="P89" s="1" t="s">
        <v>249</v>
      </c>
    </row>
    <row r="90" spans="1:16" x14ac:dyDescent="0.2">
      <c r="A90" s="1" t="s">
        <v>170</v>
      </c>
      <c r="B90" s="1" t="s">
        <v>172</v>
      </c>
      <c r="C90" s="1">
        <v>2002</v>
      </c>
      <c r="D90" s="1">
        <v>2003</v>
      </c>
      <c r="E90" s="1">
        <v>2003</v>
      </c>
      <c r="F90" s="1" t="s">
        <v>173</v>
      </c>
      <c r="G90" s="1" t="s">
        <v>244</v>
      </c>
      <c r="H90" s="1" t="s">
        <v>250</v>
      </c>
      <c r="I90" s="1" t="s">
        <v>176</v>
      </c>
      <c r="J90" s="1" t="s">
        <v>176</v>
      </c>
      <c r="K90" s="1" t="s">
        <v>252</v>
      </c>
      <c r="L90" s="1" t="s">
        <v>176</v>
      </c>
      <c r="M90" s="1" t="s">
        <v>176</v>
      </c>
      <c r="N90" s="1" t="s">
        <v>176</v>
      </c>
      <c r="O90" s="21">
        <v>1.83</v>
      </c>
      <c r="P90" s="1" t="s">
        <v>254</v>
      </c>
    </row>
    <row r="91" spans="1:16" x14ac:dyDescent="0.2">
      <c r="A91" s="1" t="s">
        <v>170</v>
      </c>
      <c r="B91" s="1" t="s">
        <v>172</v>
      </c>
      <c r="C91" s="1">
        <v>2002</v>
      </c>
      <c r="D91" s="1">
        <v>2003</v>
      </c>
      <c r="E91" s="1">
        <v>2003</v>
      </c>
      <c r="F91" s="1" t="s">
        <v>173</v>
      </c>
      <c r="G91" s="1" t="s">
        <v>255</v>
      </c>
      <c r="H91" s="1" t="s">
        <v>245</v>
      </c>
      <c r="I91" s="1" t="s">
        <v>256</v>
      </c>
      <c r="J91" s="1" t="s">
        <v>229</v>
      </c>
      <c r="K91" s="1" t="s">
        <v>258</v>
      </c>
      <c r="L91" s="1" t="s">
        <v>176</v>
      </c>
      <c r="M91" s="1" t="s">
        <v>176</v>
      </c>
      <c r="N91" s="1" t="s">
        <v>176</v>
      </c>
      <c r="O91" s="21">
        <v>125.45</v>
      </c>
      <c r="P91" s="1" t="s">
        <v>259</v>
      </c>
    </row>
    <row r="92" spans="1:16" x14ac:dyDescent="0.2">
      <c r="A92" s="1" t="s">
        <v>170</v>
      </c>
      <c r="B92" s="1" t="s">
        <v>172</v>
      </c>
      <c r="C92" s="1">
        <v>2002</v>
      </c>
      <c r="D92" s="1">
        <v>2003</v>
      </c>
      <c r="E92" s="1">
        <v>2003</v>
      </c>
      <c r="F92" s="1" t="s">
        <v>173</v>
      </c>
      <c r="G92" s="1" t="s">
        <v>255</v>
      </c>
      <c r="H92" s="1" t="s">
        <v>245</v>
      </c>
      <c r="I92" s="1" t="s">
        <v>256</v>
      </c>
      <c r="J92" s="1" t="s">
        <v>257</v>
      </c>
      <c r="K92" s="1" t="s">
        <v>258</v>
      </c>
      <c r="L92" s="1" t="s">
        <v>176</v>
      </c>
      <c r="M92" s="1" t="s">
        <v>176</v>
      </c>
      <c r="N92" s="1" t="s">
        <v>176</v>
      </c>
      <c r="O92" s="21">
        <v>125.45</v>
      </c>
      <c r="P92" s="1" t="s">
        <v>259</v>
      </c>
    </row>
    <row r="93" spans="1:16" x14ac:dyDescent="0.2">
      <c r="A93" s="1" t="s">
        <v>170</v>
      </c>
      <c r="B93" s="1" t="s">
        <v>172</v>
      </c>
      <c r="C93" s="1">
        <v>2002</v>
      </c>
      <c r="D93" s="1">
        <v>2003</v>
      </c>
      <c r="E93" s="1">
        <v>2003</v>
      </c>
      <c r="F93" s="1" t="s">
        <v>173</v>
      </c>
      <c r="G93" s="1" t="s">
        <v>255</v>
      </c>
      <c r="H93" s="1" t="s">
        <v>260</v>
      </c>
      <c r="I93" s="1" t="s">
        <v>261</v>
      </c>
      <c r="J93" s="1">
        <v>0.625</v>
      </c>
      <c r="K93" s="1" t="s">
        <v>247</v>
      </c>
      <c r="L93" s="1" t="s">
        <v>176</v>
      </c>
      <c r="M93" s="1" t="s">
        <v>176</v>
      </c>
      <c r="N93" s="1" t="s">
        <v>176</v>
      </c>
      <c r="O93" s="21">
        <v>55.83</v>
      </c>
      <c r="P93" s="1" t="s">
        <v>262</v>
      </c>
    </row>
    <row r="94" spans="1:16" x14ac:dyDescent="0.2">
      <c r="A94" s="1" t="s">
        <v>170</v>
      </c>
      <c r="B94" s="1" t="s">
        <v>172</v>
      </c>
      <c r="C94" s="1">
        <v>2002</v>
      </c>
      <c r="D94" s="1">
        <v>2003</v>
      </c>
      <c r="E94" s="1">
        <v>2003</v>
      </c>
      <c r="F94" s="1" t="s">
        <v>173</v>
      </c>
      <c r="G94" s="1" t="s">
        <v>255</v>
      </c>
      <c r="H94" s="1" t="s">
        <v>260</v>
      </c>
      <c r="I94" s="1" t="s">
        <v>261</v>
      </c>
      <c r="J94" s="1">
        <v>0.75</v>
      </c>
      <c r="K94" s="1" t="s">
        <v>247</v>
      </c>
      <c r="L94" s="1" t="s">
        <v>176</v>
      </c>
      <c r="M94" s="1" t="s">
        <v>176</v>
      </c>
      <c r="N94" s="1" t="s">
        <v>176</v>
      </c>
      <c r="O94" s="21">
        <v>58.83</v>
      </c>
      <c r="P94" s="1" t="s">
        <v>262</v>
      </c>
    </row>
    <row r="95" spans="1:16" x14ac:dyDescent="0.2">
      <c r="A95" s="1" t="s">
        <v>170</v>
      </c>
      <c r="B95" s="1" t="s">
        <v>172</v>
      </c>
      <c r="C95" s="1">
        <v>2002</v>
      </c>
      <c r="D95" s="1">
        <v>2003</v>
      </c>
      <c r="E95" s="1">
        <v>2003</v>
      </c>
      <c r="F95" s="1" t="s">
        <v>173</v>
      </c>
      <c r="G95" s="1" t="s">
        <v>255</v>
      </c>
      <c r="H95" s="1" t="s">
        <v>260</v>
      </c>
      <c r="I95" s="1" t="s">
        <v>261</v>
      </c>
      <c r="J95" s="1">
        <v>1</v>
      </c>
      <c r="K95" s="1" t="s">
        <v>247</v>
      </c>
      <c r="L95" s="1" t="s">
        <v>176</v>
      </c>
      <c r="M95" s="1" t="s">
        <v>176</v>
      </c>
      <c r="N95" s="1" t="s">
        <v>176</v>
      </c>
      <c r="O95" s="21">
        <v>117.78</v>
      </c>
      <c r="P95" s="1" t="s">
        <v>262</v>
      </c>
    </row>
    <row r="96" spans="1:16" x14ac:dyDescent="0.2">
      <c r="A96" s="1" t="s">
        <v>170</v>
      </c>
      <c r="B96" s="1" t="s">
        <v>172</v>
      </c>
      <c r="C96" s="1">
        <v>2002</v>
      </c>
      <c r="D96" s="1">
        <v>2003</v>
      </c>
      <c r="E96" s="1">
        <v>2003</v>
      </c>
      <c r="F96" s="1" t="s">
        <v>173</v>
      </c>
      <c r="G96" s="1" t="s">
        <v>255</v>
      </c>
      <c r="H96" s="1" t="s">
        <v>260</v>
      </c>
      <c r="I96" s="1" t="s">
        <v>261</v>
      </c>
      <c r="J96" s="1">
        <v>1.5</v>
      </c>
      <c r="K96" s="1" t="s">
        <v>247</v>
      </c>
      <c r="L96" s="1" t="s">
        <v>176</v>
      </c>
      <c r="M96" s="1" t="s">
        <v>176</v>
      </c>
      <c r="N96" s="1" t="s">
        <v>176</v>
      </c>
      <c r="O96" s="21">
        <v>23.45</v>
      </c>
      <c r="P96" s="1" t="s">
        <v>262</v>
      </c>
    </row>
    <row r="97" spans="1:16" x14ac:dyDescent="0.2">
      <c r="A97" s="1" t="s">
        <v>170</v>
      </c>
      <c r="B97" s="1" t="s">
        <v>172</v>
      </c>
      <c r="C97" s="1">
        <v>2002</v>
      </c>
      <c r="D97" s="1">
        <v>2003</v>
      </c>
      <c r="E97" s="1">
        <v>2003</v>
      </c>
      <c r="F97" s="1" t="s">
        <v>173</v>
      </c>
      <c r="G97" s="1" t="s">
        <v>255</v>
      </c>
      <c r="H97" s="1" t="s">
        <v>260</v>
      </c>
      <c r="I97" s="1" t="s">
        <v>261</v>
      </c>
      <c r="J97" s="1">
        <v>2</v>
      </c>
      <c r="K97" s="1" t="s">
        <v>247</v>
      </c>
      <c r="L97" s="1" t="s">
        <v>176</v>
      </c>
      <c r="M97" s="1" t="s">
        <v>176</v>
      </c>
      <c r="N97" s="1" t="s">
        <v>176</v>
      </c>
      <c r="O97" s="21">
        <v>259.31</v>
      </c>
      <c r="P97" s="1" t="s">
        <v>262</v>
      </c>
    </row>
    <row r="98" spans="1:16" x14ac:dyDescent="0.2">
      <c r="A98" s="1" t="s">
        <v>170</v>
      </c>
      <c r="B98" s="1" t="s">
        <v>172</v>
      </c>
      <c r="C98" s="1">
        <v>2002</v>
      </c>
      <c r="D98" s="1">
        <v>2003</v>
      </c>
      <c r="E98" s="1">
        <v>2003</v>
      </c>
      <c r="F98" s="1" t="s">
        <v>173</v>
      </c>
      <c r="G98" s="1" t="s">
        <v>255</v>
      </c>
      <c r="H98" s="1" t="s">
        <v>260</v>
      </c>
      <c r="I98" s="1" t="s">
        <v>261</v>
      </c>
      <c r="J98" s="1">
        <v>3</v>
      </c>
      <c r="K98" s="1" t="s">
        <v>247</v>
      </c>
      <c r="L98" s="1" t="s">
        <v>176</v>
      </c>
      <c r="M98" s="1" t="s">
        <v>176</v>
      </c>
      <c r="N98" s="1" t="s">
        <v>176</v>
      </c>
      <c r="O98" s="21">
        <v>444.33</v>
      </c>
      <c r="P98" s="1" t="s">
        <v>262</v>
      </c>
    </row>
    <row r="99" spans="1:16" x14ac:dyDescent="0.2">
      <c r="A99" s="1" t="s">
        <v>170</v>
      </c>
      <c r="B99" s="1" t="s">
        <v>172</v>
      </c>
      <c r="C99" s="1">
        <v>2002</v>
      </c>
      <c r="D99" s="1">
        <v>2003</v>
      </c>
      <c r="E99" s="1">
        <v>2003</v>
      </c>
      <c r="F99" s="1" t="s">
        <v>173</v>
      </c>
      <c r="G99" s="1" t="s">
        <v>255</v>
      </c>
      <c r="H99" s="1" t="s">
        <v>260</v>
      </c>
      <c r="I99" s="1" t="s">
        <v>261</v>
      </c>
      <c r="J99" s="1">
        <v>4</v>
      </c>
      <c r="K99" s="1" t="s">
        <v>247</v>
      </c>
      <c r="L99" s="1" t="s">
        <v>176</v>
      </c>
      <c r="M99" s="1" t="s">
        <v>176</v>
      </c>
      <c r="N99" s="1" t="s">
        <v>176</v>
      </c>
      <c r="O99" s="21">
        <v>592.79999999999995</v>
      </c>
      <c r="P99" s="1" t="s">
        <v>262</v>
      </c>
    </row>
    <row r="100" spans="1:16" x14ac:dyDescent="0.2">
      <c r="A100" s="1" t="s">
        <v>170</v>
      </c>
      <c r="B100" s="1" t="s">
        <v>172</v>
      </c>
      <c r="C100" s="1">
        <v>2002</v>
      </c>
      <c r="D100" s="1">
        <v>2003</v>
      </c>
      <c r="E100" s="1">
        <v>2003</v>
      </c>
      <c r="F100" s="1" t="s">
        <v>173</v>
      </c>
      <c r="G100" s="1" t="s">
        <v>255</v>
      </c>
      <c r="H100" s="1" t="s">
        <v>260</v>
      </c>
      <c r="I100" s="1" t="s">
        <v>261</v>
      </c>
      <c r="J100" s="1">
        <v>6</v>
      </c>
      <c r="K100" s="1" t="s">
        <v>247</v>
      </c>
      <c r="L100" s="1" t="s">
        <v>176</v>
      </c>
      <c r="M100" s="1" t="s">
        <v>176</v>
      </c>
      <c r="N100" s="1" t="s">
        <v>176</v>
      </c>
      <c r="O100" s="21">
        <v>907.53</v>
      </c>
      <c r="P100" s="1" t="s">
        <v>262</v>
      </c>
    </row>
    <row r="101" spans="1:16" x14ac:dyDescent="0.2">
      <c r="A101" s="1" t="s">
        <v>170</v>
      </c>
      <c r="B101" s="1" t="s">
        <v>172</v>
      </c>
      <c r="C101" s="1">
        <v>2002</v>
      </c>
      <c r="D101" s="1">
        <v>2003</v>
      </c>
      <c r="E101" s="1">
        <v>2003</v>
      </c>
      <c r="F101" s="1" t="s">
        <v>173</v>
      </c>
      <c r="G101" s="1" t="s">
        <v>255</v>
      </c>
      <c r="H101" s="1" t="s">
        <v>260</v>
      </c>
      <c r="I101" s="1" t="s">
        <v>261</v>
      </c>
      <c r="J101" s="1">
        <v>8</v>
      </c>
      <c r="K101" s="1" t="s">
        <v>247</v>
      </c>
      <c r="L101" s="1" t="s">
        <v>176</v>
      </c>
      <c r="M101" s="1" t="s">
        <v>176</v>
      </c>
      <c r="N101" s="1" t="s">
        <v>176</v>
      </c>
      <c r="O101" s="21">
        <v>1227.3800000000001</v>
      </c>
      <c r="P101" s="1" t="s">
        <v>262</v>
      </c>
    </row>
    <row r="102" spans="1:16" x14ac:dyDescent="0.2">
      <c r="A102" s="1" t="s">
        <v>170</v>
      </c>
      <c r="B102" s="1" t="s">
        <v>172</v>
      </c>
      <c r="C102" s="1">
        <v>2002</v>
      </c>
      <c r="D102" s="1">
        <v>2003</v>
      </c>
      <c r="E102" s="1">
        <v>2002</v>
      </c>
      <c r="F102" s="1" t="s">
        <v>173</v>
      </c>
      <c r="G102" s="1" t="s">
        <v>244</v>
      </c>
      <c r="H102" s="1" t="s">
        <v>250</v>
      </c>
      <c r="I102" s="1" t="s">
        <v>496</v>
      </c>
      <c r="J102" s="1" t="s">
        <v>209</v>
      </c>
      <c r="K102" s="1" t="s">
        <v>133</v>
      </c>
      <c r="L102" s="1" t="s">
        <v>176</v>
      </c>
      <c r="M102" s="1" t="s">
        <v>176</v>
      </c>
      <c r="N102" s="1" t="s">
        <v>176</v>
      </c>
      <c r="O102" s="21">
        <v>2.34</v>
      </c>
      <c r="P102" s="1" t="s">
        <v>495</v>
      </c>
    </row>
    <row r="103" spans="1:16" x14ac:dyDescent="0.2">
      <c r="A103" s="1" t="s">
        <v>170</v>
      </c>
      <c r="B103" s="1" t="s">
        <v>172</v>
      </c>
      <c r="C103" s="1">
        <v>2002</v>
      </c>
      <c r="D103" s="1">
        <v>2004</v>
      </c>
      <c r="E103" s="1">
        <v>2004</v>
      </c>
      <c r="F103" s="1" t="s">
        <v>173</v>
      </c>
      <c r="G103" s="1" t="s">
        <v>244</v>
      </c>
      <c r="H103" s="1" t="s">
        <v>245</v>
      </c>
      <c r="I103" s="1" t="s">
        <v>246</v>
      </c>
      <c r="J103" s="1">
        <v>0.625</v>
      </c>
      <c r="K103" s="1" t="s">
        <v>247</v>
      </c>
      <c r="L103" s="1">
        <v>0</v>
      </c>
      <c r="M103" s="1" t="s">
        <v>248</v>
      </c>
      <c r="N103" s="1" t="s">
        <v>176</v>
      </c>
      <c r="O103" s="21">
        <v>15.83</v>
      </c>
      <c r="P103" s="1" t="s">
        <v>249</v>
      </c>
    </row>
    <row r="104" spans="1:16" x14ac:dyDescent="0.2">
      <c r="A104" s="1" t="s">
        <v>170</v>
      </c>
      <c r="B104" s="1" t="s">
        <v>172</v>
      </c>
      <c r="C104" s="1">
        <v>2002</v>
      </c>
      <c r="D104" s="1">
        <v>2004</v>
      </c>
      <c r="E104" s="1">
        <v>2004</v>
      </c>
      <c r="F104" s="1" t="s">
        <v>173</v>
      </c>
      <c r="G104" s="1" t="s">
        <v>244</v>
      </c>
      <c r="H104" s="1" t="s">
        <v>245</v>
      </c>
      <c r="I104" s="1" t="s">
        <v>246</v>
      </c>
      <c r="J104" s="1">
        <v>0.75</v>
      </c>
      <c r="K104" s="1" t="s">
        <v>247</v>
      </c>
      <c r="L104" s="1">
        <v>0</v>
      </c>
      <c r="M104" s="1" t="s">
        <v>248</v>
      </c>
      <c r="N104" s="1" t="s">
        <v>176</v>
      </c>
      <c r="O104" s="21">
        <v>15.83</v>
      </c>
      <c r="P104" s="1" t="s">
        <v>249</v>
      </c>
    </row>
    <row r="105" spans="1:16" x14ac:dyDescent="0.2">
      <c r="A105" s="1" t="s">
        <v>170</v>
      </c>
      <c r="B105" s="1" t="s">
        <v>172</v>
      </c>
      <c r="C105" s="1">
        <v>2002</v>
      </c>
      <c r="D105" s="1">
        <v>2004</v>
      </c>
      <c r="E105" s="1">
        <v>2004</v>
      </c>
      <c r="F105" s="1" t="s">
        <v>173</v>
      </c>
      <c r="G105" s="1" t="s">
        <v>244</v>
      </c>
      <c r="H105" s="1" t="s">
        <v>245</v>
      </c>
      <c r="I105" s="1" t="s">
        <v>246</v>
      </c>
      <c r="J105" s="1">
        <v>1</v>
      </c>
      <c r="K105" s="1" t="s">
        <v>247</v>
      </c>
      <c r="L105" s="1">
        <v>0</v>
      </c>
      <c r="M105" s="1" t="s">
        <v>248</v>
      </c>
      <c r="N105" s="1" t="s">
        <v>176</v>
      </c>
      <c r="O105" s="21">
        <v>31.72</v>
      </c>
      <c r="P105" s="1" t="s">
        <v>249</v>
      </c>
    </row>
    <row r="106" spans="1:16" x14ac:dyDescent="0.2">
      <c r="A106" s="1" t="s">
        <v>170</v>
      </c>
      <c r="B106" s="1" t="s">
        <v>172</v>
      </c>
      <c r="C106" s="1">
        <v>2002</v>
      </c>
      <c r="D106" s="1">
        <v>2004</v>
      </c>
      <c r="E106" s="1">
        <v>2004</v>
      </c>
      <c r="F106" s="1" t="s">
        <v>173</v>
      </c>
      <c r="G106" s="1" t="s">
        <v>244</v>
      </c>
      <c r="H106" s="1" t="s">
        <v>245</v>
      </c>
      <c r="I106" s="1" t="s">
        <v>246</v>
      </c>
      <c r="J106" s="1">
        <v>1.5</v>
      </c>
      <c r="K106" s="1" t="s">
        <v>247</v>
      </c>
      <c r="L106" s="1">
        <v>0</v>
      </c>
      <c r="M106" s="1" t="s">
        <v>248</v>
      </c>
      <c r="N106" s="1" t="s">
        <v>176</v>
      </c>
      <c r="O106" s="21">
        <v>61.99</v>
      </c>
      <c r="P106" s="1" t="s">
        <v>249</v>
      </c>
    </row>
    <row r="107" spans="1:16" x14ac:dyDescent="0.2">
      <c r="A107" s="1" t="s">
        <v>170</v>
      </c>
      <c r="B107" s="1" t="s">
        <v>172</v>
      </c>
      <c r="C107" s="1">
        <v>2002</v>
      </c>
      <c r="D107" s="1">
        <v>2004</v>
      </c>
      <c r="E107" s="1">
        <v>2004</v>
      </c>
      <c r="F107" s="1" t="s">
        <v>173</v>
      </c>
      <c r="G107" s="1" t="s">
        <v>244</v>
      </c>
      <c r="H107" s="1" t="s">
        <v>245</v>
      </c>
      <c r="I107" s="1" t="s">
        <v>246</v>
      </c>
      <c r="J107" s="1">
        <v>2</v>
      </c>
      <c r="K107" s="1" t="s">
        <v>247</v>
      </c>
      <c r="L107" s="1">
        <v>0</v>
      </c>
      <c r="M107" s="1" t="s">
        <v>248</v>
      </c>
      <c r="N107" s="1" t="s">
        <v>176</v>
      </c>
      <c r="O107" s="21">
        <v>92.33</v>
      </c>
      <c r="P107" s="1" t="s">
        <v>249</v>
      </c>
    </row>
    <row r="108" spans="1:16" x14ac:dyDescent="0.2">
      <c r="A108" s="1" t="s">
        <v>170</v>
      </c>
      <c r="B108" s="1" t="s">
        <v>172</v>
      </c>
      <c r="C108" s="1">
        <v>2002</v>
      </c>
      <c r="D108" s="1">
        <v>2004</v>
      </c>
      <c r="E108" s="1">
        <v>2004</v>
      </c>
      <c r="F108" s="1" t="s">
        <v>173</v>
      </c>
      <c r="G108" s="1" t="s">
        <v>244</v>
      </c>
      <c r="H108" s="1" t="s">
        <v>245</v>
      </c>
      <c r="I108" s="1" t="s">
        <v>246</v>
      </c>
      <c r="J108" s="1">
        <v>3</v>
      </c>
      <c r="K108" s="1" t="s">
        <v>247</v>
      </c>
      <c r="L108" s="1">
        <v>0</v>
      </c>
      <c r="M108" s="1" t="s">
        <v>248</v>
      </c>
      <c r="N108" s="1" t="s">
        <v>176</v>
      </c>
      <c r="O108" s="21">
        <v>192.59</v>
      </c>
      <c r="P108" s="1" t="s">
        <v>249</v>
      </c>
    </row>
    <row r="109" spans="1:16" x14ac:dyDescent="0.2">
      <c r="A109" s="1" t="s">
        <v>170</v>
      </c>
      <c r="B109" s="1" t="s">
        <v>172</v>
      </c>
      <c r="C109" s="1">
        <v>2002</v>
      </c>
      <c r="D109" s="1">
        <v>2004</v>
      </c>
      <c r="E109" s="1">
        <v>2004</v>
      </c>
      <c r="F109" s="1" t="s">
        <v>173</v>
      </c>
      <c r="G109" s="1" t="s">
        <v>244</v>
      </c>
      <c r="H109" s="1" t="s">
        <v>245</v>
      </c>
      <c r="I109" s="1" t="s">
        <v>246</v>
      </c>
      <c r="J109" s="1">
        <v>4</v>
      </c>
      <c r="K109" s="1" t="s">
        <v>247</v>
      </c>
      <c r="L109" s="1">
        <v>0</v>
      </c>
      <c r="M109" s="1" t="s">
        <v>248</v>
      </c>
      <c r="N109" s="1" t="s">
        <v>176</v>
      </c>
      <c r="O109" s="21">
        <v>282.27</v>
      </c>
      <c r="P109" s="1" t="s">
        <v>249</v>
      </c>
    </row>
    <row r="110" spans="1:16" x14ac:dyDescent="0.2">
      <c r="A110" s="1" t="s">
        <v>170</v>
      </c>
      <c r="B110" s="1" t="s">
        <v>172</v>
      </c>
      <c r="C110" s="1">
        <v>2002</v>
      </c>
      <c r="D110" s="1">
        <v>2004</v>
      </c>
      <c r="E110" s="1">
        <v>2004</v>
      </c>
      <c r="F110" s="1" t="s">
        <v>173</v>
      </c>
      <c r="G110" s="1" t="s">
        <v>244</v>
      </c>
      <c r="H110" s="1" t="s">
        <v>245</v>
      </c>
      <c r="I110" s="1" t="s">
        <v>246</v>
      </c>
      <c r="J110" s="1">
        <v>6</v>
      </c>
      <c r="K110" s="1" t="s">
        <v>247</v>
      </c>
      <c r="L110" s="1">
        <v>0</v>
      </c>
      <c r="M110" s="1" t="s">
        <v>248</v>
      </c>
      <c r="N110" s="1" t="s">
        <v>176</v>
      </c>
      <c r="O110" s="21">
        <v>528.88</v>
      </c>
      <c r="P110" s="1" t="s">
        <v>249</v>
      </c>
    </row>
    <row r="111" spans="1:16" x14ac:dyDescent="0.2">
      <c r="A111" s="1" t="s">
        <v>170</v>
      </c>
      <c r="B111" s="1" t="s">
        <v>172</v>
      </c>
      <c r="C111" s="1">
        <v>2002</v>
      </c>
      <c r="D111" s="1">
        <v>2004</v>
      </c>
      <c r="E111" s="1">
        <v>2004</v>
      </c>
      <c r="F111" s="1" t="s">
        <v>173</v>
      </c>
      <c r="G111" s="1" t="s">
        <v>244</v>
      </c>
      <c r="H111" s="1" t="s">
        <v>245</v>
      </c>
      <c r="I111" s="1" t="s">
        <v>246</v>
      </c>
      <c r="J111" s="1">
        <v>8</v>
      </c>
      <c r="K111" s="1" t="s">
        <v>247</v>
      </c>
      <c r="L111" s="1">
        <v>0</v>
      </c>
      <c r="M111" s="1" t="s">
        <v>248</v>
      </c>
      <c r="N111" s="1" t="s">
        <v>176</v>
      </c>
      <c r="O111" s="21">
        <v>821.73</v>
      </c>
      <c r="P111" s="1" t="s">
        <v>249</v>
      </c>
    </row>
    <row r="112" spans="1:16" x14ac:dyDescent="0.2">
      <c r="A112" s="1" t="s">
        <v>170</v>
      </c>
      <c r="B112" s="1" t="s">
        <v>172</v>
      </c>
      <c r="C112" s="1">
        <v>2002</v>
      </c>
      <c r="D112" s="1">
        <v>2004</v>
      </c>
      <c r="E112" s="1">
        <v>2004</v>
      </c>
      <c r="F112" s="1" t="s">
        <v>173</v>
      </c>
      <c r="G112" s="1" t="s">
        <v>244</v>
      </c>
      <c r="H112" s="1" t="s">
        <v>250</v>
      </c>
      <c r="I112" s="1" t="s">
        <v>176</v>
      </c>
      <c r="J112" s="1" t="s">
        <v>176</v>
      </c>
      <c r="K112" s="1" t="s">
        <v>252</v>
      </c>
      <c r="L112" s="1" t="s">
        <v>176</v>
      </c>
      <c r="M112" s="1" t="s">
        <v>176</v>
      </c>
      <c r="N112" s="1" t="s">
        <v>176</v>
      </c>
      <c r="O112" s="21">
        <v>1.97</v>
      </c>
      <c r="P112" s="1" t="s">
        <v>254</v>
      </c>
    </row>
    <row r="113" spans="1:16" x14ac:dyDescent="0.2">
      <c r="A113" s="1" t="s">
        <v>170</v>
      </c>
      <c r="B113" s="1" t="s">
        <v>172</v>
      </c>
      <c r="C113" s="1">
        <v>2002</v>
      </c>
      <c r="D113" s="1">
        <v>2004</v>
      </c>
      <c r="E113" s="1">
        <v>2004</v>
      </c>
      <c r="F113" s="1" t="s">
        <v>173</v>
      </c>
      <c r="G113" s="1" t="s">
        <v>255</v>
      </c>
      <c r="H113" s="1" t="s">
        <v>245</v>
      </c>
      <c r="I113" s="1" t="s">
        <v>256</v>
      </c>
      <c r="J113" s="1" t="s">
        <v>229</v>
      </c>
      <c r="K113" s="1" t="s">
        <v>258</v>
      </c>
      <c r="L113" s="1" t="s">
        <v>176</v>
      </c>
      <c r="M113" s="1" t="s">
        <v>176</v>
      </c>
      <c r="N113" s="1" t="s">
        <v>176</v>
      </c>
      <c r="O113" s="21">
        <v>134.97999999999999</v>
      </c>
      <c r="P113" s="1" t="s">
        <v>259</v>
      </c>
    </row>
    <row r="114" spans="1:16" x14ac:dyDescent="0.2">
      <c r="A114" s="1" t="s">
        <v>170</v>
      </c>
      <c r="B114" s="1" t="s">
        <v>172</v>
      </c>
      <c r="C114" s="1">
        <v>2002</v>
      </c>
      <c r="D114" s="1">
        <v>2004</v>
      </c>
      <c r="E114" s="1">
        <v>2004</v>
      </c>
      <c r="F114" s="1" t="s">
        <v>173</v>
      </c>
      <c r="G114" s="1" t="s">
        <v>255</v>
      </c>
      <c r="H114" s="1" t="s">
        <v>245</v>
      </c>
      <c r="I114" s="1" t="s">
        <v>256</v>
      </c>
      <c r="J114" s="1" t="s">
        <v>257</v>
      </c>
      <c r="K114" s="1" t="s">
        <v>258</v>
      </c>
      <c r="L114" s="1" t="s">
        <v>176</v>
      </c>
      <c r="M114" s="1" t="s">
        <v>176</v>
      </c>
      <c r="N114" s="1" t="s">
        <v>176</v>
      </c>
      <c r="O114" s="21">
        <v>134.97999999999999</v>
      </c>
      <c r="P114" s="1" t="s">
        <v>259</v>
      </c>
    </row>
    <row r="115" spans="1:16" x14ac:dyDescent="0.2">
      <c r="A115" s="1" t="s">
        <v>170</v>
      </c>
      <c r="B115" s="1" t="s">
        <v>172</v>
      </c>
      <c r="C115" s="1">
        <v>2002</v>
      </c>
      <c r="D115" s="1">
        <v>2004</v>
      </c>
      <c r="E115" s="1">
        <v>2004</v>
      </c>
      <c r="F115" s="1" t="s">
        <v>173</v>
      </c>
      <c r="G115" s="1" t="s">
        <v>255</v>
      </c>
      <c r="H115" s="1" t="s">
        <v>260</v>
      </c>
      <c r="I115" s="1" t="s">
        <v>261</v>
      </c>
      <c r="J115" s="1">
        <v>0.625</v>
      </c>
      <c r="K115" s="1" t="s">
        <v>247</v>
      </c>
      <c r="L115" s="1" t="s">
        <v>176</v>
      </c>
      <c r="M115" s="1" t="s">
        <v>176</v>
      </c>
      <c r="N115" s="1" t="s">
        <v>176</v>
      </c>
      <c r="O115" s="21">
        <v>63.3</v>
      </c>
      <c r="P115" s="1" t="s">
        <v>262</v>
      </c>
    </row>
    <row r="116" spans="1:16" x14ac:dyDescent="0.2">
      <c r="A116" s="1" t="s">
        <v>170</v>
      </c>
      <c r="B116" s="1" t="s">
        <v>172</v>
      </c>
      <c r="C116" s="1">
        <v>2002</v>
      </c>
      <c r="D116" s="1">
        <v>2004</v>
      </c>
      <c r="E116" s="1">
        <v>2004</v>
      </c>
      <c r="F116" s="1" t="s">
        <v>173</v>
      </c>
      <c r="G116" s="1" t="s">
        <v>255</v>
      </c>
      <c r="H116" s="1" t="s">
        <v>260</v>
      </c>
      <c r="I116" s="1" t="s">
        <v>261</v>
      </c>
      <c r="J116" s="1">
        <v>0.75</v>
      </c>
      <c r="K116" s="1" t="s">
        <v>247</v>
      </c>
      <c r="L116" s="1" t="s">
        <v>176</v>
      </c>
      <c r="M116" s="1" t="s">
        <v>176</v>
      </c>
      <c r="N116" s="1" t="s">
        <v>176</v>
      </c>
      <c r="O116" s="21">
        <v>63.3</v>
      </c>
      <c r="P116" s="1" t="s">
        <v>262</v>
      </c>
    </row>
    <row r="117" spans="1:16" x14ac:dyDescent="0.2">
      <c r="A117" s="1" t="s">
        <v>170</v>
      </c>
      <c r="B117" s="1" t="s">
        <v>172</v>
      </c>
      <c r="C117" s="1">
        <v>2002</v>
      </c>
      <c r="D117" s="1">
        <v>2004</v>
      </c>
      <c r="E117" s="1">
        <v>2004</v>
      </c>
      <c r="F117" s="1" t="s">
        <v>173</v>
      </c>
      <c r="G117" s="1" t="s">
        <v>255</v>
      </c>
      <c r="H117" s="1" t="s">
        <v>260</v>
      </c>
      <c r="I117" s="1" t="s">
        <v>261</v>
      </c>
      <c r="J117" s="1">
        <v>1</v>
      </c>
      <c r="K117" s="1" t="s">
        <v>247</v>
      </c>
      <c r="L117" s="1" t="s">
        <v>176</v>
      </c>
      <c r="M117" s="1" t="s">
        <v>176</v>
      </c>
      <c r="N117" s="1" t="s">
        <v>176</v>
      </c>
      <c r="O117" s="21">
        <v>126.73</v>
      </c>
      <c r="P117" s="1" t="s">
        <v>262</v>
      </c>
    </row>
    <row r="118" spans="1:16" x14ac:dyDescent="0.2">
      <c r="A118" s="1" t="s">
        <v>170</v>
      </c>
      <c r="B118" s="1" t="s">
        <v>172</v>
      </c>
      <c r="C118" s="1">
        <v>2002</v>
      </c>
      <c r="D118" s="1">
        <v>2004</v>
      </c>
      <c r="E118" s="1">
        <v>2004</v>
      </c>
      <c r="F118" s="1" t="s">
        <v>173</v>
      </c>
      <c r="G118" s="1" t="s">
        <v>255</v>
      </c>
      <c r="H118" s="1" t="s">
        <v>260</v>
      </c>
      <c r="I118" s="1" t="s">
        <v>261</v>
      </c>
      <c r="J118" s="1">
        <v>1.5</v>
      </c>
      <c r="K118" s="1" t="s">
        <v>247</v>
      </c>
      <c r="L118" s="1" t="s">
        <v>176</v>
      </c>
      <c r="M118" s="1" t="s">
        <v>176</v>
      </c>
      <c r="N118" s="1" t="s">
        <v>176</v>
      </c>
      <c r="O118" s="21">
        <v>247.96</v>
      </c>
      <c r="P118" s="1" t="s">
        <v>262</v>
      </c>
    </row>
    <row r="119" spans="1:16" x14ac:dyDescent="0.2">
      <c r="A119" s="1" t="s">
        <v>170</v>
      </c>
      <c r="B119" s="1" t="s">
        <v>172</v>
      </c>
      <c r="C119" s="1">
        <v>2002</v>
      </c>
      <c r="D119" s="1">
        <v>2004</v>
      </c>
      <c r="E119" s="1">
        <v>2004</v>
      </c>
      <c r="F119" s="1" t="s">
        <v>173</v>
      </c>
      <c r="G119" s="1" t="s">
        <v>255</v>
      </c>
      <c r="H119" s="1" t="s">
        <v>260</v>
      </c>
      <c r="I119" s="1" t="s">
        <v>261</v>
      </c>
      <c r="J119" s="1">
        <v>2</v>
      </c>
      <c r="K119" s="1" t="s">
        <v>247</v>
      </c>
      <c r="L119" s="1" t="s">
        <v>176</v>
      </c>
      <c r="M119" s="1" t="s">
        <v>176</v>
      </c>
      <c r="N119" s="1" t="s">
        <v>176</v>
      </c>
      <c r="O119" s="21">
        <v>279.02</v>
      </c>
      <c r="P119" s="1" t="s">
        <v>262</v>
      </c>
    </row>
    <row r="120" spans="1:16" x14ac:dyDescent="0.2">
      <c r="A120" s="1" t="s">
        <v>170</v>
      </c>
      <c r="B120" s="1" t="s">
        <v>172</v>
      </c>
      <c r="C120" s="1">
        <v>2002</v>
      </c>
      <c r="D120" s="1">
        <v>2004</v>
      </c>
      <c r="E120" s="1">
        <v>2004</v>
      </c>
      <c r="F120" s="1" t="s">
        <v>173</v>
      </c>
      <c r="G120" s="1" t="s">
        <v>255</v>
      </c>
      <c r="H120" s="1" t="s">
        <v>260</v>
      </c>
      <c r="I120" s="1" t="s">
        <v>261</v>
      </c>
      <c r="J120" s="1">
        <v>3</v>
      </c>
      <c r="K120" s="1" t="s">
        <v>247</v>
      </c>
      <c r="L120" s="1" t="s">
        <v>176</v>
      </c>
      <c r="M120" s="1" t="s">
        <v>176</v>
      </c>
      <c r="N120" s="1" t="s">
        <v>176</v>
      </c>
      <c r="O120" s="21">
        <v>478.1</v>
      </c>
      <c r="P120" s="1" t="s">
        <v>262</v>
      </c>
    </row>
    <row r="121" spans="1:16" x14ac:dyDescent="0.2">
      <c r="A121" s="1" t="s">
        <v>170</v>
      </c>
      <c r="B121" s="1" t="s">
        <v>172</v>
      </c>
      <c r="C121" s="1">
        <v>2002</v>
      </c>
      <c r="D121" s="1">
        <v>2004</v>
      </c>
      <c r="E121" s="1">
        <v>2004</v>
      </c>
      <c r="F121" s="1" t="s">
        <v>173</v>
      </c>
      <c r="G121" s="1" t="s">
        <v>255</v>
      </c>
      <c r="H121" s="1" t="s">
        <v>260</v>
      </c>
      <c r="I121" s="1" t="s">
        <v>261</v>
      </c>
      <c r="J121" s="1">
        <v>4</v>
      </c>
      <c r="K121" s="1" t="s">
        <v>247</v>
      </c>
      <c r="L121" s="1" t="s">
        <v>176</v>
      </c>
      <c r="M121" s="1" t="s">
        <v>176</v>
      </c>
      <c r="N121" s="1" t="s">
        <v>176</v>
      </c>
      <c r="O121" s="21">
        <v>637.85</v>
      </c>
      <c r="P121" s="1" t="s">
        <v>262</v>
      </c>
    </row>
    <row r="122" spans="1:16" x14ac:dyDescent="0.2">
      <c r="A122" s="1" t="s">
        <v>170</v>
      </c>
      <c r="B122" s="1" t="s">
        <v>172</v>
      </c>
      <c r="C122" s="1">
        <v>2002</v>
      </c>
      <c r="D122" s="1">
        <v>2004</v>
      </c>
      <c r="E122" s="1">
        <v>2004</v>
      </c>
      <c r="F122" s="1" t="s">
        <v>173</v>
      </c>
      <c r="G122" s="1" t="s">
        <v>255</v>
      </c>
      <c r="H122" s="1" t="s">
        <v>260</v>
      </c>
      <c r="I122" s="1" t="s">
        <v>261</v>
      </c>
      <c r="J122" s="1">
        <v>6</v>
      </c>
      <c r="K122" s="1" t="s">
        <v>247</v>
      </c>
      <c r="L122" s="1" t="s">
        <v>176</v>
      </c>
      <c r="M122" s="1" t="s">
        <v>176</v>
      </c>
      <c r="N122" s="1" t="s">
        <v>176</v>
      </c>
      <c r="O122" s="21">
        <v>976.5</v>
      </c>
      <c r="P122" s="1" t="s">
        <v>262</v>
      </c>
    </row>
    <row r="123" spans="1:16" x14ac:dyDescent="0.2">
      <c r="A123" s="1" t="s">
        <v>170</v>
      </c>
      <c r="B123" s="1" t="s">
        <v>172</v>
      </c>
      <c r="C123" s="1">
        <v>2002</v>
      </c>
      <c r="D123" s="1">
        <v>2004</v>
      </c>
      <c r="E123" s="1">
        <v>2004</v>
      </c>
      <c r="F123" s="1" t="s">
        <v>173</v>
      </c>
      <c r="G123" s="1" t="s">
        <v>255</v>
      </c>
      <c r="H123" s="1" t="s">
        <v>260</v>
      </c>
      <c r="I123" s="1" t="s">
        <v>261</v>
      </c>
      <c r="J123" s="1">
        <v>8</v>
      </c>
      <c r="K123" s="1" t="s">
        <v>247</v>
      </c>
      <c r="L123" s="1" t="s">
        <v>176</v>
      </c>
      <c r="M123" s="1" t="s">
        <v>176</v>
      </c>
      <c r="N123" s="1" t="s">
        <v>176</v>
      </c>
      <c r="O123" s="21">
        <v>1320.66</v>
      </c>
      <c r="P123" s="1" t="s">
        <v>262</v>
      </c>
    </row>
    <row r="124" spans="1:16" x14ac:dyDescent="0.2">
      <c r="A124" s="1" t="s">
        <v>170</v>
      </c>
      <c r="B124" s="1" t="s">
        <v>172</v>
      </c>
      <c r="C124" s="1">
        <v>2002</v>
      </c>
      <c r="D124" s="1">
        <v>2004</v>
      </c>
      <c r="E124" s="1">
        <v>2004</v>
      </c>
      <c r="F124" s="1" t="s">
        <v>173</v>
      </c>
      <c r="G124" s="1" t="s">
        <v>244</v>
      </c>
      <c r="H124" s="1" t="s">
        <v>505</v>
      </c>
      <c r="I124" s="1" t="s">
        <v>496</v>
      </c>
      <c r="J124" s="1">
        <v>3000000</v>
      </c>
      <c r="K124" s="1" t="s">
        <v>133</v>
      </c>
      <c r="L124" s="1" t="s">
        <v>176</v>
      </c>
      <c r="M124" s="1" t="s">
        <v>176</v>
      </c>
      <c r="N124" s="1" t="s">
        <v>176</v>
      </c>
      <c r="O124" s="21">
        <v>3.28</v>
      </c>
      <c r="P124" s="1" t="s">
        <v>495</v>
      </c>
    </row>
    <row r="125" spans="1:16" x14ac:dyDescent="0.2">
      <c r="A125" s="1" t="s">
        <v>170</v>
      </c>
      <c r="B125" s="1" t="s">
        <v>172</v>
      </c>
      <c r="C125" s="1">
        <v>2002</v>
      </c>
      <c r="D125" s="1">
        <v>2004</v>
      </c>
      <c r="E125" s="1">
        <v>2004</v>
      </c>
      <c r="F125" s="1" t="s">
        <v>173</v>
      </c>
      <c r="G125" s="1" t="s">
        <v>244</v>
      </c>
      <c r="H125" s="1" t="s">
        <v>505</v>
      </c>
      <c r="I125" s="1" t="s">
        <v>496</v>
      </c>
      <c r="J125" s="1" t="s">
        <v>504</v>
      </c>
      <c r="K125" s="1" t="s">
        <v>133</v>
      </c>
      <c r="L125" s="1" t="s">
        <v>176</v>
      </c>
      <c r="M125" s="1" t="s">
        <v>176</v>
      </c>
      <c r="N125" s="1" t="s">
        <v>176</v>
      </c>
      <c r="O125" s="21">
        <v>2.58</v>
      </c>
      <c r="P125" s="1" t="s">
        <v>495</v>
      </c>
    </row>
    <row r="126" spans="1:16" x14ac:dyDescent="0.2">
      <c r="A126" s="1" t="s">
        <v>170</v>
      </c>
      <c r="B126" s="1" t="s">
        <v>172</v>
      </c>
      <c r="C126" s="1">
        <v>2009</v>
      </c>
      <c r="D126" s="1">
        <v>2009</v>
      </c>
      <c r="E126" s="1">
        <v>2009</v>
      </c>
      <c r="F126" s="1" t="s">
        <v>173</v>
      </c>
      <c r="G126" s="1" t="s">
        <v>244</v>
      </c>
      <c r="H126" s="1" t="s">
        <v>245</v>
      </c>
      <c r="I126" s="1" t="s">
        <v>246</v>
      </c>
      <c r="J126" s="1">
        <v>0.625</v>
      </c>
      <c r="K126" s="1" t="s">
        <v>247</v>
      </c>
      <c r="L126" s="1">
        <v>0</v>
      </c>
      <c r="M126" s="1" t="s">
        <v>248</v>
      </c>
      <c r="N126" s="1" t="s">
        <v>217</v>
      </c>
      <c r="O126" s="21">
        <v>19.149999999999999</v>
      </c>
      <c r="P126" s="1" t="s">
        <v>249</v>
      </c>
    </row>
    <row r="127" spans="1:16" x14ac:dyDescent="0.2">
      <c r="A127" s="1" t="s">
        <v>170</v>
      </c>
      <c r="B127" s="1" t="s">
        <v>172</v>
      </c>
      <c r="C127" s="1">
        <v>2009</v>
      </c>
      <c r="D127" s="1">
        <v>2009</v>
      </c>
      <c r="E127" s="1">
        <v>2009</v>
      </c>
      <c r="F127" s="1" t="s">
        <v>173</v>
      </c>
      <c r="G127" s="1" t="s">
        <v>244</v>
      </c>
      <c r="H127" s="1" t="s">
        <v>245</v>
      </c>
      <c r="I127" s="1" t="s">
        <v>246</v>
      </c>
      <c r="J127" s="1">
        <v>0.75</v>
      </c>
      <c r="K127" s="1" t="s">
        <v>247</v>
      </c>
      <c r="L127" s="1">
        <v>0</v>
      </c>
      <c r="M127" s="1" t="s">
        <v>248</v>
      </c>
      <c r="N127" s="1" t="s">
        <v>217</v>
      </c>
      <c r="O127" s="21">
        <v>19.149999999999999</v>
      </c>
      <c r="P127" s="1" t="s">
        <v>249</v>
      </c>
    </row>
    <row r="128" spans="1:16" x14ac:dyDescent="0.2">
      <c r="A128" s="1" t="s">
        <v>170</v>
      </c>
      <c r="B128" s="1" t="s">
        <v>172</v>
      </c>
      <c r="C128" s="1">
        <v>2009</v>
      </c>
      <c r="D128" s="1">
        <v>2009</v>
      </c>
      <c r="E128" s="1">
        <v>2009</v>
      </c>
      <c r="F128" s="1" t="s">
        <v>173</v>
      </c>
      <c r="G128" s="1" t="s">
        <v>244</v>
      </c>
      <c r="H128" s="1" t="s">
        <v>245</v>
      </c>
      <c r="I128" s="1" t="s">
        <v>246</v>
      </c>
      <c r="J128" s="1">
        <v>1</v>
      </c>
      <c r="K128" s="1" t="s">
        <v>247</v>
      </c>
      <c r="L128" s="1">
        <v>0</v>
      </c>
      <c r="M128" s="1" t="s">
        <v>248</v>
      </c>
      <c r="N128" s="1" t="s">
        <v>217</v>
      </c>
      <c r="O128" s="21">
        <v>38.369999999999997</v>
      </c>
      <c r="P128" s="1" t="s">
        <v>249</v>
      </c>
    </row>
    <row r="129" spans="1:16" x14ac:dyDescent="0.2">
      <c r="A129" s="1" t="s">
        <v>170</v>
      </c>
      <c r="B129" s="1" t="s">
        <v>172</v>
      </c>
      <c r="C129" s="1">
        <v>2009</v>
      </c>
      <c r="D129" s="1">
        <v>2009</v>
      </c>
      <c r="E129" s="1">
        <v>2009</v>
      </c>
      <c r="F129" s="1" t="s">
        <v>173</v>
      </c>
      <c r="G129" s="1" t="s">
        <v>244</v>
      </c>
      <c r="H129" s="1" t="s">
        <v>245</v>
      </c>
      <c r="I129" s="1" t="s">
        <v>246</v>
      </c>
      <c r="J129" s="1">
        <v>1.5</v>
      </c>
      <c r="K129" s="1" t="s">
        <v>247</v>
      </c>
      <c r="L129" s="1">
        <v>0</v>
      </c>
      <c r="M129" s="1" t="s">
        <v>248</v>
      </c>
      <c r="N129" s="1" t="s">
        <v>217</v>
      </c>
      <c r="O129" s="21">
        <v>74.989999999999995</v>
      </c>
      <c r="P129" s="1" t="s">
        <v>249</v>
      </c>
    </row>
    <row r="130" spans="1:16" x14ac:dyDescent="0.2">
      <c r="A130" s="1" t="s">
        <v>170</v>
      </c>
      <c r="B130" s="1" t="s">
        <v>172</v>
      </c>
      <c r="C130" s="1">
        <v>2009</v>
      </c>
      <c r="D130" s="1">
        <v>2009</v>
      </c>
      <c r="E130" s="1">
        <v>2009</v>
      </c>
      <c r="F130" s="1" t="s">
        <v>173</v>
      </c>
      <c r="G130" s="1" t="s">
        <v>244</v>
      </c>
      <c r="H130" s="1" t="s">
        <v>245</v>
      </c>
      <c r="I130" s="1" t="s">
        <v>246</v>
      </c>
      <c r="J130" s="1">
        <v>2</v>
      </c>
      <c r="K130" s="1" t="s">
        <v>247</v>
      </c>
      <c r="L130" s="1">
        <v>0</v>
      </c>
      <c r="M130" s="1" t="s">
        <v>248</v>
      </c>
      <c r="N130" s="1" t="s">
        <v>217</v>
      </c>
      <c r="O130" s="21">
        <v>111.69</v>
      </c>
      <c r="P130" s="1" t="s">
        <v>249</v>
      </c>
    </row>
    <row r="131" spans="1:16" x14ac:dyDescent="0.2">
      <c r="A131" s="1" t="s">
        <v>170</v>
      </c>
      <c r="B131" s="1" t="s">
        <v>172</v>
      </c>
      <c r="C131" s="1">
        <v>2009</v>
      </c>
      <c r="D131" s="1">
        <v>2009</v>
      </c>
      <c r="E131" s="1">
        <v>2009</v>
      </c>
      <c r="F131" s="1" t="s">
        <v>173</v>
      </c>
      <c r="G131" s="1" t="s">
        <v>244</v>
      </c>
      <c r="H131" s="1" t="s">
        <v>245</v>
      </c>
      <c r="I131" s="1" t="s">
        <v>246</v>
      </c>
      <c r="J131" s="1">
        <v>3</v>
      </c>
      <c r="K131" s="1" t="s">
        <v>247</v>
      </c>
      <c r="L131" s="1">
        <v>0</v>
      </c>
      <c r="M131" s="1" t="s">
        <v>248</v>
      </c>
      <c r="N131" s="1" t="s">
        <v>217</v>
      </c>
      <c r="O131" s="21">
        <v>232.98</v>
      </c>
      <c r="P131" s="1" t="s">
        <v>249</v>
      </c>
    </row>
    <row r="132" spans="1:16" x14ac:dyDescent="0.2">
      <c r="A132" s="1" t="s">
        <v>170</v>
      </c>
      <c r="B132" s="1" t="s">
        <v>172</v>
      </c>
      <c r="C132" s="1">
        <v>2009</v>
      </c>
      <c r="D132" s="1">
        <v>2009</v>
      </c>
      <c r="E132" s="1">
        <v>2009</v>
      </c>
      <c r="F132" s="1" t="s">
        <v>173</v>
      </c>
      <c r="G132" s="1" t="s">
        <v>244</v>
      </c>
      <c r="H132" s="1" t="s">
        <v>245</v>
      </c>
      <c r="I132" s="1" t="s">
        <v>246</v>
      </c>
      <c r="J132" s="1">
        <v>4</v>
      </c>
      <c r="K132" s="1" t="s">
        <v>247</v>
      </c>
      <c r="L132" s="1">
        <v>0</v>
      </c>
      <c r="M132" s="1" t="s">
        <v>248</v>
      </c>
      <c r="N132" s="1" t="s">
        <v>217</v>
      </c>
      <c r="O132" s="21">
        <v>341.47</v>
      </c>
      <c r="P132" s="1" t="s">
        <v>249</v>
      </c>
    </row>
    <row r="133" spans="1:16" x14ac:dyDescent="0.2">
      <c r="A133" s="1" t="s">
        <v>170</v>
      </c>
      <c r="B133" s="1" t="s">
        <v>172</v>
      </c>
      <c r="C133" s="1">
        <v>2009</v>
      </c>
      <c r="D133" s="1">
        <v>2009</v>
      </c>
      <c r="E133" s="1">
        <v>2009</v>
      </c>
      <c r="F133" s="1" t="s">
        <v>173</v>
      </c>
      <c r="G133" s="1" t="s">
        <v>244</v>
      </c>
      <c r="H133" s="1" t="s">
        <v>245</v>
      </c>
      <c r="I133" s="1" t="s">
        <v>246</v>
      </c>
      <c r="J133" s="1">
        <v>6</v>
      </c>
      <c r="K133" s="1" t="s">
        <v>247</v>
      </c>
      <c r="L133" s="1">
        <v>0</v>
      </c>
      <c r="M133" s="1" t="s">
        <v>248</v>
      </c>
      <c r="N133" s="1" t="s">
        <v>217</v>
      </c>
      <c r="O133" s="21">
        <v>639.79999999999995</v>
      </c>
      <c r="P133" s="1" t="s">
        <v>249</v>
      </c>
    </row>
    <row r="134" spans="1:16" x14ac:dyDescent="0.2">
      <c r="A134" s="1" t="s">
        <v>170</v>
      </c>
      <c r="B134" s="1" t="s">
        <v>172</v>
      </c>
      <c r="C134" s="1">
        <v>2009</v>
      </c>
      <c r="D134" s="1">
        <v>2009</v>
      </c>
      <c r="E134" s="1">
        <v>2009</v>
      </c>
      <c r="F134" s="1" t="s">
        <v>173</v>
      </c>
      <c r="G134" s="1" t="s">
        <v>244</v>
      </c>
      <c r="H134" s="1" t="s">
        <v>245</v>
      </c>
      <c r="I134" s="1" t="s">
        <v>246</v>
      </c>
      <c r="J134" s="1">
        <v>8</v>
      </c>
      <c r="K134" s="1" t="s">
        <v>247</v>
      </c>
      <c r="L134" s="1">
        <v>0</v>
      </c>
      <c r="M134" s="1" t="s">
        <v>248</v>
      </c>
      <c r="N134" s="1" t="s">
        <v>217</v>
      </c>
      <c r="O134" s="21">
        <v>994.07</v>
      </c>
      <c r="P134" s="1" t="s">
        <v>249</v>
      </c>
    </row>
    <row r="135" spans="1:16" x14ac:dyDescent="0.2">
      <c r="A135" s="1" t="s">
        <v>170</v>
      </c>
      <c r="B135" s="1" t="s">
        <v>172</v>
      </c>
      <c r="C135" s="1">
        <v>2009</v>
      </c>
      <c r="D135" s="1">
        <v>2009</v>
      </c>
      <c r="E135" s="1">
        <v>2009</v>
      </c>
      <c r="F135" s="1" t="s">
        <v>173</v>
      </c>
      <c r="G135" s="1" t="s">
        <v>244</v>
      </c>
      <c r="H135" s="1" t="s">
        <v>245</v>
      </c>
      <c r="I135" s="1" t="s">
        <v>246</v>
      </c>
      <c r="J135" s="1">
        <v>0.625</v>
      </c>
      <c r="K135" s="1" t="s">
        <v>247</v>
      </c>
      <c r="L135" s="1">
        <v>0</v>
      </c>
      <c r="M135" s="1" t="s">
        <v>248</v>
      </c>
      <c r="N135" s="1" t="s">
        <v>218</v>
      </c>
      <c r="O135" s="21">
        <v>20.149999999999999</v>
      </c>
      <c r="P135" s="1" t="s">
        <v>249</v>
      </c>
    </row>
    <row r="136" spans="1:16" x14ac:dyDescent="0.2">
      <c r="A136" s="1" t="s">
        <v>170</v>
      </c>
      <c r="B136" s="1" t="s">
        <v>172</v>
      </c>
      <c r="C136" s="1">
        <v>2009</v>
      </c>
      <c r="D136" s="1">
        <v>2009</v>
      </c>
      <c r="E136" s="1">
        <v>2009</v>
      </c>
      <c r="F136" s="1" t="s">
        <v>173</v>
      </c>
      <c r="G136" s="1" t="s">
        <v>244</v>
      </c>
      <c r="H136" s="1" t="s">
        <v>245</v>
      </c>
      <c r="I136" s="1" t="s">
        <v>246</v>
      </c>
      <c r="J136" s="1">
        <v>0.75</v>
      </c>
      <c r="K136" s="1" t="s">
        <v>247</v>
      </c>
      <c r="L136" s="1">
        <v>0</v>
      </c>
      <c r="M136" s="1" t="s">
        <v>248</v>
      </c>
      <c r="N136" s="1" t="s">
        <v>218</v>
      </c>
      <c r="O136" s="21">
        <v>20.149999999999999</v>
      </c>
      <c r="P136" s="1" t="s">
        <v>249</v>
      </c>
    </row>
    <row r="137" spans="1:16" x14ac:dyDescent="0.2">
      <c r="A137" s="1" t="s">
        <v>170</v>
      </c>
      <c r="B137" s="1" t="s">
        <v>172</v>
      </c>
      <c r="C137" s="1">
        <v>2009</v>
      </c>
      <c r="D137" s="1">
        <v>2009</v>
      </c>
      <c r="E137" s="1">
        <v>2009</v>
      </c>
      <c r="F137" s="1" t="s">
        <v>173</v>
      </c>
      <c r="G137" s="1" t="s">
        <v>244</v>
      </c>
      <c r="H137" s="1" t="s">
        <v>245</v>
      </c>
      <c r="I137" s="1" t="s">
        <v>246</v>
      </c>
      <c r="J137" s="1">
        <v>1</v>
      </c>
      <c r="K137" s="1" t="s">
        <v>247</v>
      </c>
      <c r="L137" s="1">
        <v>0</v>
      </c>
      <c r="M137" s="1" t="s">
        <v>248</v>
      </c>
      <c r="N137" s="1" t="s">
        <v>218</v>
      </c>
      <c r="O137" s="21">
        <v>39.369999999999997</v>
      </c>
      <c r="P137" s="1" t="s">
        <v>249</v>
      </c>
    </row>
    <row r="138" spans="1:16" x14ac:dyDescent="0.2">
      <c r="A138" s="1" t="s">
        <v>170</v>
      </c>
      <c r="B138" s="1" t="s">
        <v>172</v>
      </c>
      <c r="C138" s="1">
        <v>2009</v>
      </c>
      <c r="D138" s="1">
        <v>2009</v>
      </c>
      <c r="E138" s="1">
        <v>2009</v>
      </c>
      <c r="F138" s="1" t="s">
        <v>173</v>
      </c>
      <c r="G138" s="1" t="s">
        <v>244</v>
      </c>
      <c r="H138" s="1" t="s">
        <v>245</v>
      </c>
      <c r="I138" s="1" t="s">
        <v>246</v>
      </c>
      <c r="J138" s="1">
        <v>1.5</v>
      </c>
      <c r="K138" s="1" t="s">
        <v>247</v>
      </c>
      <c r="L138" s="1">
        <v>0</v>
      </c>
      <c r="M138" s="1" t="s">
        <v>248</v>
      </c>
      <c r="N138" s="1" t="s">
        <v>218</v>
      </c>
      <c r="O138" s="21">
        <v>75.989999999999995</v>
      </c>
      <c r="P138" s="1" t="s">
        <v>249</v>
      </c>
    </row>
    <row r="139" spans="1:16" x14ac:dyDescent="0.2">
      <c r="A139" s="1" t="s">
        <v>170</v>
      </c>
      <c r="B139" s="1" t="s">
        <v>172</v>
      </c>
      <c r="C139" s="1">
        <v>2009</v>
      </c>
      <c r="D139" s="1">
        <v>2009</v>
      </c>
      <c r="E139" s="1">
        <v>2009</v>
      </c>
      <c r="F139" s="1" t="s">
        <v>173</v>
      </c>
      <c r="G139" s="1" t="s">
        <v>244</v>
      </c>
      <c r="H139" s="1" t="s">
        <v>245</v>
      </c>
      <c r="I139" s="1" t="s">
        <v>246</v>
      </c>
      <c r="J139" s="1">
        <v>2</v>
      </c>
      <c r="K139" s="1" t="s">
        <v>247</v>
      </c>
      <c r="L139" s="1">
        <v>0</v>
      </c>
      <c r="M139" s="1" t="s">
        <v>248</v>
      </c>
      <c r="N139" s="1" t="s">
        <v>218</v>
      </c>
      <c r="O139" s="21">
        <v>112.69</v>
      </c>
      <c r="P139" s="1" t="s">
        <v>249</v>
      </c>
    </row>
    <row r="140" spans="1:16" x14ac:dyDescent="0.2">
      <c r="A140" s="1" t="s">
        <v>170</v>
      </c>
      <c r="B140" s="1" t="s">
        <v>172</v>
      </c>
      <c r="C140" s="1">
        <v>2009</v>
      </c>
      <c r="D140" s="1">
        <v>2009</v>
      </c>
      <c r="E140" s="1">
        <v>2009</v>
      </c>
      <c r="F140" s="1" t="s">
        <v>173</v>
      </c>
      <c r="G140" s="1" t="s">
        <v>244</v>
      </c>
      <c r="H140" s="1" t="s">
        <v>245</v>
      </c>
      <c r="I140" s="1" t="s">
        <v>246</v>
      </c>
      <c r="J140" s="1">
        <v>3</v>
      </c>
      <c r="K140" s="1" t="s">
        <v>247</v>
      </c>
      <c r="L140" s="1">
        <v>0</v>
      </c>
      <c r="M140" s="1" t="s">
        <v>248</v>
      </c>
      <c r="N140" s="1" t="s">
        <v>218</v>
      </c>
      <c r="O140" s="21">
        <v>233.98</v>
      </c>
      <c r="P140" s="1" t="s">
        <v>249</v>
      </c>
    </row>
    <row r="141" spans="1:16" x14ac:dyDescent="0.2">
      <c r="A141" s="1" t="s">
        <v>170</v>
      </c>
      <c r="B141" s="1" t="s">
        <v>172</v>
      </c>
      <c r="C141" s="1">
        <v>2009</v>
      </c>
      <c r="D141" s="1">
        <v>2009</v>
      </c>
      <c r="E141" s="1">
        <v>2009</v>
      </c>
      <c r="F141" s="1" t="s">
        <v>173</v>
      </c>
      <c r="G141" s="1" t="s">
        <v>244</v>
      </c>
      <c r="H141" s="1" t="s">
        <v>245</v>
      </c>
      <c r="I141" s="1" t="s">
        <v>246</v>
      </c>
      <c r="J141" s="1">
        <v>4</v>
      </c>
      <c r="K141" s="1" t="s">
        <v>247</v>
      </c>
      <c r="L141" s="1">
        <v>0</v>
      </c>
      <c r="M141" s="1" t="s">
        <v>248</v>
      </c>
      <c r="N141" s="1" t="s">
        <v>218</v>
      </c>
      <c r="O141" s="21">
        <v>342.47</v>
      </c>
      <c r="P141" s="1" t="s">
        <v>249</v>
      </c>
    </row>
    <row r="142" spans="1:16" x14ac:dyDescent="0.2">
      <c r="A142" s="1" t="s">
        <v>170</v>
      </c>
      <c r="B142" s="1" t="s">
        <v>172</v>
      </c>
      <c r="C142" s="1">
        <v>2009</v>
      </c>
      <c r="D142" s="1">
        <v>2009</v>
      </c>
      <c r="E142" s="1">
        <v>2009</v>
      </c>
      <c r="F142" s="1" t="s">
        <v>173</v>
      </c>
      <c r="G142" s="1" t="s">
        <v>244</v>
      </c>
      <c r="H142" s="1" t="s">
        <v>245</v>
      </c>
      <c r="I142" s="1" t="s">
        <v>246</v>
      </c>
      <c r="J142" s="1">
        <v>6</v>
      </c>
      <c r="K142" s="1" t="s">
        <v>247</v>
      </c>
      <c r="L142" s="1">
        <v>0</v>
      </c>
      <c r="M142" s="1" t="s">
        <v>248</v>
      </c>
      <c r="N142" s="1" t="s">
        <v>218</v>
      </c>
      <c r="O142" s="21">
        <v>640.79999999999995</v>
      </c>
      <c r="P142" s="1" t="s">
        <v>249</v>
      </c>
    </row>
    <row r="143" spans="1:16" x14ac:dyDescent="0.2">
      <c r="A143" s="1" t="s">
        <v>170</v>
      </c>
      <c r="B143" s="1" t="s">
        <v>172</v>
      </c>
      <c r="C143" s="1">
        <v>2009</v>
      </c>
      <c r="D143" s="1">
        <v>2009</v>
      </c>
      <c r="E143" s="1">
        <v>2009</v>
      </c>
      <c r="F143" s="1" t="s">
        <v>173</v>
      </c>
      <c r="G143" s="1" t="s">
        <v>244</v>
      </c>
      <c r="H143" s="1" t="s">
        <v>245</v>
      </c>
      <c r="I143" s="1" t="s">
        <v>246</v>
      </c>
      <c r="J143" s="1">
        <v>8</v>
      </c>
      <c r="K143" s="1" t="s">
        <v>247</v>
      </c>
      <c r="L143" s="1">
        <v>0</v>
      </c>
      <c r="M143" s="1" t="s">
        <v>248</v>
      </c>
      <c r="N143" s="1" t="s">
        <v>218</v>
      </c>
      <c r="O143" s="21">
        <v>995.07</v>
      </c>
      <c r="P143" s="1" t="s">
        <v>249</v>
      </c>
    </row>
    <row r="144" spans="1:16" x14ac:dyDescent="0.2">
      <c r="A144" s="1" t="s">
        <v>170</v>
      </c>
      <c r="B144" s="1" t="s">
        <v>172</v>
      </c>
      <c r="C144" s="1">
        <v>2009</v>
      </c>
      <c r="D144" s="1">
        <v>2009</v>
      </c>
      <c r="E144" s="1">
        <v>2009</v>
      </c>
      <c r="F144" s="1" t="s">
        <v>173</v>
      </c>
      <c r="G144" s="1" t="s">
        <v>244</v>
      </c>
      <c r="H144" s="1" t="s">
        <v>250</v>
      </c>
      <c r="I144" s="1" t="s">
        <v>176</v>
      </c>
      <c r="J144" s="1" t="s">
        <v>176</v>
      </c>
      <c r="K144" s="1" t="s">
        <v>252</v>
      </c>
      <c r="L144" s="1" t="s">
        <v>176</v>
      </c>
      <c r="M144" s="1" t="s">
        <v>176</v>
      </c>
      <c r="N144" s="1" t="s">
        <v>176</v>
      </c>
      <c r="O144" s="21">
        <v>2.6</v>
      </c>
      <c r="P144" s="1" t="s">
        <v>254</v>
      </c>
    </row>
    <row r="145" spans="1:16" x14ac:dyDescent="0.2">
      <c r="A145" s="1" t="s">
        <v>170</v>
      </c>
      <c r="B145" s="1" t="s">
        <v>172</v>
      </c>
      <c r="C145" s="1">
        <v>2009</v>
      </c>
      <c r="D145" s="1">
        <v>2009</v>
      </c>
      <c r="E145" s="1">
        <v>2009</v>
      </c>
      <c r="F145" s="1" t="s">
        <v>173</v>
      </c>
      <c r="G145" s="1" t="s">
        <v>255</v>
      </c>
      <c r="H145" s="1" t="s">
        <v>245</v>
      </c>
      <c r="I145" s="1" t="s">
        <v>256</v>
      </c>
      <c r="J145" s="1" t="s">
        <v>229</v>
      </c>
      <c r="K145" s="1" t="s">
        <v>258</v>
      </c>
      <c r="L145" s="1" t="s">
        <v>176</v>
      </c>
      <c r="M145" s="1" t="s">
        <v>176</v>
      </c>
      <c r="N145" s="1" t="s">
        <v>176</v>
      </c>
      <c r="O145" s="21">
        <v>163.29</v>
      </c>
      <c r="P145" s="1" t="s">
        <v>259</v>
      </c>
    </row>
    <row r="146" spans="1:16" x14ac:dyDescent="0.2">
      <c r="A146" s="1" t="s">
        <v>170</v>
      </c>
      <c r="B146" s="1" t="s">
        <v>172</v>
      </c>
      <c r="C146" s="1">
        <v>2009</v>
      </c>
      <c r="D146" s="1">
        <v>2009</v>
      </c>
      <c r="E146" s="1">
        <v>2009</v>
      </c>
      <c r="F146" s="1" t="s">
        <v>173</v>
      </c>
      <c r="G146" s="1" t="s">
        <v>255</v>
      </c>
      <c r="H146" s="1" t="s">
        <v>245</v>
      </c>
      <c r="I146" s="1" t="s">
        <v>256</v>
      </c>
      <c r="J146" s="1" t="s">
        <v>257</v>
      </c>
      <c r="K146" s="1" t="s">
        <v>258</v>
      </c>
      <c r="L146" s="1" t="s">
        <v>176</v>
      </c>
      <c r="M146" s="1" t="s">
        <v>176</v>
      </c>
      <c r="N146" s="1" t="s">
        <v>176</v>
      </c>
      <c r="O146" s="21">
        <v>163.29</v>
      </c>
      <c r="P146" s="1" t="s">
        <v>259</v>
      </c>
    </row>
    <row r="147" spans="1:16" x14ac:dyDescent="0.2">
      <c r="A147" s="1" t="s">
        <v>170</v>
      </c>
      <c r="B147" s="1" t="s">
        <v>172</v>
      </c>
      <c r="C147" s="1">
        <v>2009</v>
      </c>
      <c r="D147" s="1">
        <v>2009</v>
      </c>
      <c r="E147" s="1">
        <v>2009</v>
      </c>
      <c r="F147" s="1" t="s">
        <v>173</v>
      </c>
      <c r="G147" s="1" t="s">
        <v>255</v>
      </c>
      <c r="H147" s="1" t="s">
        <v>260</v>
      </c>
      <c r="I147" s="1" t="s">
        <v>261</v>
      </c>
      <c r="J147" s="1">
        <v>0.625</v>
      </c>
      <c r="K147" s="1" t="s">
        <v>247</v>
      </c>
      <c r="L147" s="1" t="s">
        <v>176</v>
      </c>
      <c r="M147" s="1" t="s">
        <v>176</v>
      </c>
      <c r="N147" s="1" t="s">
        <v>176</v>
      </c>
      <c r="O147" s="21">
        <v>76.58</v>
      </c>
      <c r="P147" s="1" t="s">
        <v>262</v>
      </c>
    </row>
    <row r="148" spans="1:16" x14ac:dyDescent="0.2">
      <c r="A148" s="1" t="s">
        <v>170</v>
      </c>
      <c r="B148" s="1" t="s">
        <v>172</v>
      </c>
      <c r="C148" s="1">
        <v>2009</v>
      </c>
      <c r="D148" s="1">
        <v>2009</v>
      </c>
      <c r="E148" s="1">
        <v>2009</v>
      </c>
      <c r="F148" s="1" t="s">
        <v>173</v>
      </c>
      <c r="G148" s="1" t="s">
        <v>255</v>
      </c>
      <c r="H148" s="1" t="s">
        <v>260</v>
      </c>
      <c r="I148" s="1" t="s">
        <v>261</v>
      </c>
      <c r="J148" s="1">
        <v>0.75</v>
      </c>
      <c r="K148" s="1" t="s">
        <v>247</v>
      </c>
      <c r="L148" s="1" t="s">
        <v>176</v>
      </c>
      <c r="M148" s="1" t="s">
        <v>176</v>
      </c>
      <c r="N148" s="1" t="s">
        <v>176</v>
      </c>
      <c r="O148" s="21">
        <v>76.58</v>
      </c>
      <c r="P148" s="1" t="s">
        <v>262</v>
      </c>
    </row>
    <row r="149" spans="1:16" x14ac:dyDescent="0.2">
      <c r="A149" s="1" t="s">
        <v>170</v>
      </c>
      <c r="B149" s="1" t="s">
        <v>172</v>
      </c>
      <c r="C149" s="1">
        <v>2009</v>
      </c>
      <c r="D149" s="1">
        <v>2009</v>
      </c>
      <c r="E149" s="1">
        <v>2009</v>
      </c>
      <c r="F149" s="1" t="s">
        <v>173</v>
      </c>
      <c r="G149" s="1" t="s">
        <v>255</v>
      </c>
      <c r="H149" s="1" t="s">
        <v>260</v>
      </c>
      <c r="I149" s="1" t="s">
        <v>261</v>
      </c>
      <c r="J149" s="1">
        <v>1</v>
      </c>
      <c r="K149" s="1" t="s">
        <v>247</v>
      </c>
      <c r="L149" s="1" t="s">
        <v>176</v>
      </c>
      <c r="M149" s="1" t="s">
        <v>176</v>
      </c>
      <c r="N149" s="1" t="s">
        <v>176</v>
      </c>
      <c r="O149" s="21">
        <v>153.31</v>
      </c>
      <c r="P149" s="1" t="s">
        <v>262</v>
      </c>
    </row>
    <row r="150" spans="1:16" x14ac:dyDescent="0.2">
      <c r="A150" s="1" t="s">
        <v>170</v>
      </c>
      <c r="B150" s="1" t="s">
        <v>172</v>
      </c>
      <c r="C150" s="1">
        <v>2009</v>
      </c>
      <c r="D150" s="1">
        <v>2009</v>
      </c>
      <c r="E150" s="1">
        <v>2009</v>
      </c>
      <c r="F150" s="1" t="s">
        <v>173</v>
      </c>
      <c r="G150" s="1" t="s">
        <v>255</v>
      </c>
      <c r="H150" s="1" t="s">
        <v>260</v>
      </c>
      <c r="I150" s="1" t="s">
        <v>261</v>
      </c>
      <c r="J150" s="1">
        <v>1.5</v>
      </c>
      <c r="K150" s="1" t="s">
        <v>247</v>
      </c>
      <c r="L150" s="1" t="s">
        <v>176</v>
      </c>
      <c r="M150" s="1" t="s">
        <v>176</v>
      </c>
      <c r="N150" s="1" t="s">
        <v>176</v>
      </c>
      <c r="O150" s="21">
        <v>299.97000000000003</v>
      </c>
      <c r="P150" s="1" t="s">
        <v>262</v>
      </c>
    </row>
    <row r="151" spans="1:16" x14ac:dyDescent="0.2">
      <c r="A151" s="1" t="s">
        <v>170</v>
      </c>
      <c r="B151" s="1" t="s">
        <v>172</v>
      </c>
      <c r="C151" s="1">
        <v>2009</v>
      </c>
      <c r="D151" s="1">
        <v>2009</v>
      </c>
      <c r="E151" s="1">
        <v>2009</v>
      </c>
      <c r="F151" s="1" t="s">
        <v>173</v>
      </c>
      <c r="G151" s="1" t="s">
        <v>255</v>
      </c>
      <c r="H151" s="1" t="s">
        <v>260</v>
      </c>
      <c r="I151" s="1" t="s">
        <v>261</v>
      </c>
      <c r="J151" s="1">
        <v>2</v>
      </c>
      <c r="K151" s="1" t="s">
        <v>247</v>
      </c>
      <c r="L151" s="1" t="s">
        <v>176</v>
      </c>
      <c r="M151" s="1" t="s">
        <v>176</v>
      </c>
      <c r="N151" s="1" t="s">
        <v>176</v>
      </c>
      <c r="O151" s="21">
        <v>337.54</v>
      </c>
      <c r="P151" s="1" t="s">
        <v>262</v>
      </c>
    </row>
    <row r="152" spans="1:16" x14ac:dyDescent="0.2">
      <c r="A152" s="1" t="s">
        <v>170</v>
      </c>
      <c r="B152" s="1" t="s">
        <v>172</v>
      </c>
      <c r="C152" s="1">
        <v>2009</v>
      </c>
      <c r="D152" s="1">
        <v>2009</v>
      </c>
      <c r="E152" s="1">
        <v>2009</v>
      </c>
      <c r="F152" s="1" t="s">
        <v>173</v>
      </c>
      <c r="G152" s="1" t="s">
        <v>255</v>
      </c>
      <c r="H152" s="1" t="s">
        <v>260</v>
      </c>
      <c r="I152" s="1" t="s">
        <v>261</v>
      </c>
      <c r="J152" s="1">
        <v>3</v>
      </c>
      <c r="K152" s="1" t="s">
        <v>247</v>
      </c>
      <c r="L152" s="1" t="s">
        <v>176</v>
      </c>
      <c r="M152" s="1" t="s">
        <v>176</v>
      </c>
      <c r="N152" s="1" t="s">
        <v>176</v>
      </c>
      <c r="O152" s="21">
        <v>578.39</v>
      </c>
      <c r="P152" s="1" t="s">
        <v>262</v>
      </c>
    </row>
    <row r="153" spans="1:16" x14ac:dyDescent="0.2">
      <c r="A153" s="1" t="s">
        <v>170</v>
      </c>
      <c r="B153" s="1" t="s">
        <v>172</v>
      </c>
      <c r="C153" s="1">
        <v>2009</v>
      </c>
      <c r="D153" s="1">
        <v>2009</v>
      </c>
      <c r="E153" s="1">
        <v>2009</v>
      </c>
      <c r="F153" s="1" t="s">
        <v>173</v>
      </c>
      <c r="G153" s="1" t="s">
        <v>255</v>
      </c>
      <c r="H153" s="1" t="s">
        <v>260</v>
      </c>
      <c r="I153" s="1" t="s">
        <v>261</v>
      </c>
      <c r="J153" s="1">
        <v>4</v>
      </c>
      <c r="K153" s="1" t="s">
        <v>247</v>
      </c>
      <c r="L153" s="1" t="s">
        <v>176</v>
      </c>
      <c r="M153" s="1" t="s">
        <v>176</v>
      </c>
      <c r="N153" s="1" t="s">
        <v>176</v>
      </c>
      <c r="O153" s="21">
        <v>771.63</v>
      </c>
      <c r="P153" s="1" t="s">
        <v>262</v>
      </c>
    </row>
    <row r="154" spans="1:16" x14ac:dyDescent="0.2">
      <c r="A154" s="1" t="s">
        <v>170</v>
      </c>
      <c r="B154" s="1" t="s">
        <v>172</v>
      </c>
      <c r="C154" s="1">
        <v>2009</v>
      </c>
      <c r="D154" s="1">
        <v>2009</v>
      </c>
      <c r="E154" s="1">
        <v>2009</v>
      </c>
      <c r="F154" s="1" t="s">
        <v>173</v>
      </c>
      <c r="G154" s="1" t="s">
        <v>255</v>
      </c>
      <c r="H154" s="1" t="s">
        <v>260</v>
      </c>
      <c r="I154" s="1" t="s">
        <v>261</v>
      </c>
      <c r="J154" s="1">
        <v>6</v>
      </c>
      <c r="K154" s="1" t="s">
        <v>247</v>
      </c>
      <c r="L154" s="1" t="s">
        <v>176</v>
      </c>
      <c r="M154" s="1" t="s">
        <v>176</v>
      </c>
      <c r="N154" s="1" t="s">
        <v>176</v>
      </c>
      <c r="O154" s="21">
        <v>1181.3</v>
      </c>
      <c r="P154" s="1" t="s">
        <v>262</v>
      </c>
    </row>
    <row r="155" spans="1:16" x14ac:dyDescent="0.2">
      <c r="A155" s="1" t="s">
        <v>170</v>
      </c>
      <c r="B155" s="1" t="s">
        <v>172</v>
      </c>
      <c r="C155" s="1">
        <v>2009</v>
      </c>
      <c r="D155" s="1">
        <v>2009</v>
      </c>
      <c r="E155" s="1">
        <v>2009</v>
      </c>
      <c r="F155" s="1" t="s">
        <v>173</v>
      </c>
      <c r="G155" s="1" t="s">
        <v>255</v>
      </c>
      <c r="H155" s="1" t="s">
        <v>260</v>
      </c>
      <c r="I155" s="1" t="s">
        <v>261</v>
      </c>
      <c r="J155" s="1">
        <v>8</v>
      </c>
      <c r="K155" s="1" t="s">
        <v>247</v>
      </c>
      <c r="L155" s="1" t="s">
        <v>176</v>
      </c>
      <c r="M155" s="1" t="s">
        <v>176</v>
      </c>
      <c r="N155" s="1" t="s">
        <v>176</v>
      </c>
      <c r="O155" s="21">
        <v>1597.64</v>
      </c>
      <c r="P155" s="1" t="s">
        <v>262</v>
      </c>
    </row>
    <row r="156" spans="1:16" x14ac:dyDescent="0.2">
      <c r="A156" s="1" t="s">
        <v>170</v>
      </c>
      <c r="B156" s="1" t="s">
        <v>172</v>
      </c>
      <c r="C156" s="1">
        <v>2009</v>
      </c>
      <c r="D156" s="1">
        <v>2009</v>
      </c>
      <c r="E156" s="1">
        <v>2009</v>
      </c>
      <c r="F156" s="1" t="s">
        <v>173</v>
      </c>
      <c r="G156" s="1" t="s">
        <v>244</v>
      </c>
      <c r="H156" s="1" t="s">
        <v>505</v>
      </c>
      <c r="I156" s="1" t="s">
        <v>496</v>
      </c>
      <c r="J156" s="1">
        <v>3000000</v>
      </c>
      <c r="K156" s="1" t="s">
        <v>133</v>
      </c>
      <c r="L156" s="1" t="s">
        <v>176</v>
      </c>
      <c r="M156" s="1" t="s">
        <v>176</v>
      </c>
      <c r="N156" s="1" t="s">
        <v>176</v>
      </c>
      <c r="O156" s="21">
        <v>3.97</v>
      </c>
      <c r="P156" s="1" t="s">
        <v>495</v>
      </c>
    </row>
    <row r="157" spans="1:16" x14ac:dyDescent="0.2">
      <c r="A157" s="1" t="s">
        <v>170</v>
      </c>
      <c r="B157" s="1" t="s">
        <v>172</v>
      </c>
      <c r="C157" s="1">
        <v>2009</v>
      </c>
      <c r="D157" s="1">
        <v>2009</v>
      </c>
      <c r="E157" s="1">
        <v>2009</v>
      </c>
      <c r="F157" s="1" t="s">
        <v>173</v>
      </c>
      <c r="G157" s="1" t="s">
        <v>244</v>
      </c>
      <c r="H157" s="1" t="s">
        <v>505</v>
      </c>
      <c r="I157" s="1" t="s">
        <v>496</v>
      </c>
      <c r="J157" s="1" t="s">
        <v>504</v>
      </c>
      <c r="K157" s="1" t="s">
        <v>133</v>
      </c>
      <c r="L157" s="1" t="s">
        <v>176</v>
      </c>
      <c r="M157" s="1" t="s">
        <v>176</v>
      </c>
      <c r="N157" s="1" t="s">
        <v>176</v>
      </c>
      <c r="O157" s="21">
        <v>3.1</v>
      </c>
      <c r="P157" s="1" t="s">
        <v>495</v>
      </c>
    </row>
    <row r="158" spans="1:16" x14ac:dyDescent="0.2">
      <c r="A158" s="1" t="s">
        <v>170</v>
      </c>
      <c r="B158" s="1" t="s">
        <v>172</v>
      </c>
      <c r="C158" s="1">
        <v>2012</v>
      </c>
      <c r="D158" s="1">
        <v>2011</v>
      </c>
      <c r="E158" s="1">
        <v>2004</v>
      </c>
      <c r="F158" s="1" t="s">
        <v>281</v>
      </c>
      <c r="G158" s="1" t="s">
        <v>244</v>
      </c>
      <c r="H158" s="1" t="s">
        <v>245</v>
      </c>
      <c r="I158" s="1" t="s">
        <v>629</v>
      </c>
      <c r="J158" s="1" t="s">
        <v>215</v>
      </c>
      <c r="K158" s="1" t="s">
        <v>630</v>
      </c>
      <c r="L158" s="1" t="s">
        <v>176</v>
      </c>
      <c r="M158" s="1" t="s">
        <v>176</v>
      </c>
      <c r="N158" s="1" t="s">
        <v>176</v>
      </c>
      <c r="O158" s="21">
        <v>66.25</v>
      </c>
      <c r="P158" s="1" t="s">
        <v>631</v>
      </c>
    </row>
    <row r="159" spans="1:16" x14ac:dyDescent="0.2">
      <c r="A159" s="1" t="s">
        <v>170</v>
      </c>
      <c r="B159" s="1" t="s">
        <v>172</v>
      </c>
      <c r="C159" s="1">
        <v>2012</v>
      </c>
      <c r="D159" s="1">
        <v>2011</v>
      </c>
      <c r="E159" s="1">
        <v>2004</v>
      </c>
      <c r="F159" s="1" t="s">
        <v>281</v>
      </c>
      <c r="G159" s="1" t="s">
        <v>244</v>
      </c>
      <c r="H159" s="1" t="s">
        <v>245</v>
      </c>
      <c r="I159" s="1" t="s">
        <v>629</v>
      </c>
      <c r="J159" s="1" t="s">
        <v>632</v>
      </c>
      <c r="K159" s="1" t="s">
        <v>630</v>
      </c>
      <c r="L159" s="1" t="s">
        <v>176</v>
      </c>
      <c r="M159" s="1" t="s">
        <v>176</v>
      </c>
      <c r="N159" s="1" t="s">
        <v>176</v>
      </c>
      <c r="O159" s="21">
        <v>66.25</v>
      </c>
      <c r="P159" s="1" t="s">
        <v>631</v>
      </c>
    </row>
    <row r="160" spans="1:16" x14ac:dyDescent="0.2">
      <c r="A160" s="1" t="s">
        <v>170</v>
      </c>
      <c r="B160" s="1" t="s">
        <v>172</v>
      </c>
      <c r="C160" s="1">
        <v>2012</v>
      </c>
      <c r="D160" s="1">
        <v>2011</v>
      </c>
      <c r="E160" s="1">
        <v>2004</v>
      </c>
      <c r="F160" s="1" t="s">
        <v>281</v>
      </c>
      <c r="G160" s="1" t="s">
        <v>244</v>
      </c>
      <c r="H160" s="1" t="s">
        <v>245</v>
      </c>
      <c r="I160" s="1" t="s">
        <v>629</v>
      </c>
      <c r="J160" s="1" t="s">
        <v>633</v>
      </c>
      <c r="K160" s="1" t="s">
        <v>630</v>
      </c>
      <c r="L160" s="1" t="s">
        <v>176</v>
      </c>
      <c r="M160" s="1" t="s">
        <v>176</v>
      </c>
      <c r="N160" s="1" t="s">
        <v>176</v>
      </c>
      <c r="O160" s="21">
        <v>112.63</v>
      </c>
      <c r="P160" s="1" t="s">
        <v>635</v>
      </c>
    </row>
    <row r="161" spans="1:16" x14ac:dyDescent="0.2">
      <c r="A161" s="1" t="s">
        <v>170</v>
      </c>
      <c r="B161" s="1" t="s">
        <v>172</v>
      </c>
      <c r="C161" s="1">
        <v>2012</v>
      </c>
      <c r="D161" s="1">
        <v>2011</v>
      </c>
      <c r="E161" s="1">
        <v>2004</v>
      </c>
      <c r="F161" s="1" t="s">
        <v>281</v>
      </c>
      <c r="G161" s="1" t="s">
        <v>244</v>
      </c>
      <c r="H161" s="1" t="s">
        <v>245</v>
      </c>
      <c r="I161" s="1" t="s">
        <v>629</v>
      </c>
      <c r="J161" s="1" t="s">
        <v>634</v>
      </c>
      <c r="K161" s="1" t="s">
        <v>630</v>
      </c>
      <c r="L161" s="1" t="s">
        <v>176</v>
      </c>
      <c r="M161" s="1" t="s">
        <v>176</v>
      </c>
      <c r="N161" s="1" t="s">
        <v>176</v>
      </c>
      <c r="O161" s="21">
        <v>157.66999999999999</v>
      </c>
      <c r="P161" s="1" t="s">
        <v>635</v>
      </c>
    </row>
    <row r="162" spans="1:16" x14ac:dyDescent="0.2">
      <c r="A162" s="1" t="s">
        <v>170</v>
      </c>
      <c r="B162" s="1" t="s">
        <v>172</v>
      </c>
      <c r="C162" s="1">
        <v>2012</v>
      </c>
      <c r="D162" s="1">
        <v>2011</v>
      </c>
      <c r="E162" s="1">
        <v>2004</v>
      </c>
      <c r="F162" s="1" t="s">
        <v>281</v>
      </c>
      <c r="G162" s="1" t="s">
        <v>244</v>
      </c>
      <c r="H162" s="1" t="s">
        <v>245</v>
      </c>
      <c r="I162" s="1" t="s">
        <v>246</v>
      </c>
      <c r="J162" s="1">
        <v>0.625</v>
      </c>
      <c r="K162" s="1" t="s">
        <v>247</v>
      </c>
      <c r="L162" s="1" t="s">
        <v>176</v>
      </c>
      <c r="M162" s="1" t="s">
        <v>176</v>
      </c>
      <c r="N162" s="1" t="s">
        <v>225</v>
      </c>
      <c r="O162" s="21">
        <f>66.25*1</f>
        <v>66.25</v>
      </c>
      <c r="P162" s="1" t="s">
        <v>631</v>
      </c>
    </row>
    <row r="163" spans="1:16" x14ac:dyDescent="0.2">
      <c r="A163" s="1" t="s">
        <v>170</v>
      </c>
      <c r="B163" s="1" t="s">
        <v>172</v>
      </c>
      <c r="C163" s="1">
        <v>2012</v>
      </c>
      <c r="D163" s="1">
        <v>2011</v>
      </c>
      <c r="E163" s="1">
        <v>2004</v>
      </c>
      <c r="F163" s="1" t="s">
        <v>281</v>
      </c>
      <c r="G163" s="1" t="s">
        <v>244</v>
      </c>
      <c r="H163" s="1" t="s">
        <v>245</v>
      </c>
      <c r="I163" s="1" t="s">
        <v>246</v>
      </c>
      <c r="J163" s="1">
        <v>0.75</v>
      </c>
      <c r="K163" s="1" t="s">
        <v>247</v>
      </c>
      <c r="L163" s="1" t="s">
        <v>176</v>
      </c>
      <c r="M163" s="1" t="s">
        <v>176</v>
      </c>
      <c r="N163" s="1" t="s">
        <v>225</v>
      </c>
      <c r="O163" s="21">
        <f>66.25*2</f>
        <v>132.5</v>
      </c>
      <c r="P163" s="1" t="s">
        <v>631</v>
      </c>
    </row>
    <row r="164" spans="1:16" x14ac:dyDescent="0.2">
      <c r="A164" s="1" t="s">
        <v>170</v>
      </c>
      <c r="B164" s="1" t="s">
        <v>172</v>
      </c>
      <c r="C164" s="1">
        <v>2012</v>
      </c>
      <c r="D164" s="1">
        <v>2011</v>
      </c>
      <c r="E164" s="1">
        <v>2004</v>
      </c>
      <c r="F164" s="1" t="s">
        <v>281</v>
      </c>
      <c r="G164" s="1" t="s">
        <v>244</v>
      </c>
      <c r="H164" s="1" t="s">
        <v>245</v>
      </c>
      <c r="I164" s="1" t="s">
        <v>246</v>
      </c>
      <c r="J164" s="1">
        <v>1</v>
      </c>
      <c r="K164" s="1" t="s">
        <v>247</v>
      </c>
      <c r="L164" s="1" t="s">
        <v>176</v>
      </c>
      <c r="M164" s="1" t="s">
        <v>176</v>
      </c>
      <c r="N164" s="1" t="s">
        <v>225</v>
      </c>
      <c r="O164" s="21">
        <f>66.25*3</f>
        <v>198.75</v>
      </c>
      <c r="P164" s="1" t="s">
        <v>631</v>
      </c>
    </row>
    <row r="165" spans="1:16" x14ac:dyDescent="0.2">
      <c r="A165" s="1" t="s">
        <v>170</v>
      </c>
      <c r="B165" s="1" t="s">
        <v>172</v>
      </c>
      <c r="C165" s="1">
        <v>2012</v>
      </c>
      <c r="D165" s="1">
        <v>2011</v>
      </c>
      <c r="E165" s="1">
        <v>2004</v>
      </c>
      <c r="F165" s="1" t="s">
        <v>281</v>
      </c>
      <c r="G165" s="1" t="s">
        <v>244</v>
      </c>
      <c r="H165" s="1" t="s">
        <v>245</v>
      </c>
      <c r="I165" s="1" t="s">
        <v>246</v>
      </c>
      <c r="J165" s="1">
        <v>1.5</v>
      </c>
      <c r="K165" s="1" t="s">
        <v>247</v>
      </c>
      <c r="L165" s="1" t="s">
        <v>176</v>
      </c>
      <c r="M165" s="1" t="s">
        <v>176</v>
      </c>
      <c r="N165" s="1" t="s">
        <v>225</v>
      </c>
      <c r="O165" s="21">
        <f>66.25*6</f>
        <v>397.5</v>
      </c>
      <c r="P165" s="1" t="s">
        <v>631</v>
      </c>
    </row>
    <row r="166" spans="1:16" x14ac:dyDescent="0.2">
      <c r="A166" s="1" t="s">
        <v>170</v>
      </c>
      <c r="B166" s="1" t="s">
        <v>172</v>
      </c>
      <c r="C166" s="1">
        <v>2012</v>
      </c>
      <c r="D166" s="1">
        <v>2011</v>
      </c>
      <c r="E166" s="1">
        <v>2004</v>
      </c>
      <c r="F166" s="1" t="s">
        <v>281</v>
      </c>
      <c r="G166" s="1" t="s">
        <v>244</v>
      </c>
      <c r="H166" s="1" t="s">
        <v>245</v>
      </c>
      <c r="I166" s="1" t="s">
        <v>246</v>
      </c>
      <c r="J166" s="1">
        <v>2</v>
      </c>
      <c r="K166" s="1" t="s">
        <v>247</v>
      </c>
      <c r="L166" s="1" t="s">
        <v>176</v>
      </c>
      <c r="M166" s="1" t="s">
        <v>176</v>
      </c>
      <c r="N166" s="1" t="s">
        <v>225</v>
      </c>
      <c r="O166" s="21">
        <f>66.25*11</f>
        <v>728.75</v>
      </c>
      <c r="P166" s="1" t="s">
        <v>631</v>
      </c>
    </row>
    <row r="167" spans="1:16" x14ac:dyDescent="0.2">
      <c r="A167" s="1" t="s">
        <v>170</v>
      </c>
      <c r="B167" s="1" t="s">
        <v>172</v>
      </c>
      <c r="C167" s="1">
        <v>2012</v>
      </c>
      <c r="D167" s="1">
        <v>2011</v>
      </c>
      <c r="E167" s="1">
        <v>2004</v>
      </c>
      <c r="F167" s="1" t="s">
        <v>281</v>
      </c>
      <c r="G167" s="1" t="s">
        <v>244</v>
      </c>
      <c r="H167" s="1" t="s">
        <v>245</v>
      </c>
      <c r="I167" s="1" t="s">
        <v>246</v>
      </c>
      <c r="J167" s="1">
        <v>3</v>
      </c>
      <c r="K167" s="1" t="s">
        <v>247</v>
      </c>
      <c r="L167" s="1" t="s">
        <v>176</v>
      </c>
      <c r="M167" s="1" t="s">
        <v>176</v>
      </c>
      <c r="N167" s="1" t="s">
        <v>225</v>
      </c>
      <c r="O167" s="21">
        <f>66.25*23</f>
        <v>1523.75</v>
      </c>
      <c r="P167" s="1" t="s">
        <v>631</v>
      </c>
    </row>
    <row r="168" spans="1:16" x14ac:dyDescent="0.2">
      <c r="A168" s="1" t="s">
        <v>170</v>
      </c>
      <c r="B168" s="1" t="s">
        <v>172</v>
      </c>
      <c r="C168" s="1">
        <v>2012</v>
      </c>
      <c r="D168" s="1">
        <v>2011</v>
      </c>
      <c r="E168" s="1">
        <v>2004</v>
      </c>
      <c r="F168" s="1" t="s">
        <v>281</v>
      </c>
      <c r="G168" s="1" t="s">
        <v>244</v>
      </c>
      <c r="H168" s="1" t="s">
        <v>245</v>
      </c>
      <c r="I168" s="1" t="s">
        <v>246</v>
      </c>
      <c r="J168" s="1">
        <v>4</v>
      </c>
      <c r="K168" s="1" t="s">
        <v>247</v>
      </c>
      <c r="L168" s="1" t="s">
        <v>176</v>
      </c>
      <c r="M168" s="1" t="s">
        <v>176</v>
      </c>
      <c r="N168" s="1" t="s">
        <v>225</v>
      </c>
      <c r="O168" s="21">
        <f>66.25*41</f>
        <v>2716.25</v>
      </c>
      <c r="P168" s="1" t="s">
        <v>631</v>
      </c>
    </row>
    <row r="169" spans="1:16" x14ac:dyDescent="0.2">
      <c r="A169" s="1" t="s">
        <v>170</v>
      </c>
      <c r="B169" s="1" t="s">
        <v>172</v>
      </c>
      <c r="C169" s="1">
        <v>2012</v>
      </c>
      <c r="D169" s="1">
        <v>2011</v>
      </c>
      <c r="E169" s="1">
        <v>2004</v>
      </c>
      <c r="F169" s="1" t="s">
        <v>281</v>
      </c>
      <c r="G169" s="1" t="s">
        <v>244</v>
      </c>
      <c r="H169" s="1" t="s">
        <v>245</v>
      </c>
      <c r="I169" s="1" t="s">
        <v>246</v>
      </c>
      <c r="J169" s="1">
        <v>6</v>
      </c>
      <c r="K169" s="1" t="s">
        <v>247</v>
      </c>
      <c r="L169" s="1" t="s">
        <v>176</v>
      </c>
      <c r="M169" s="1" t="s">
        <v>176</v>
      </c>
      <c r="N169" s="1" t="s">
        <v>225</v>
      </c>
      <c r="O169" s="21">
        <f>66.25*64</f>
        <v>4240</v>
      </c>
      <c r="P169" s="1" t="s">
        <v>631</v>
      </c>
    </row>
    <row r="170" spans="1:16" x14ac:dyDescent="0.2">
      <c r="A170" s="1" t="s">
        <v>170</v>
      </c>
      <c r="B170" s="1" t="s">
        <v>172</v>
      </c>
      <c r="C170" s="1">
        <v>2012</v>
      </c>
      <c r="D170" s="1">
        <v>2011</v>
      </c>
      <c r="E170" s="1">
        <v>2004</v>
      </c>
      <c r="F170" s="1" t="s">
        <v>281</v>
      </c>
      <c r="G170" s="1" t="s">
        <v>244</v>
      </c>
      <c r="H170" s="1" t="s">
        <v>245</v>
      </c>
      <c r="I170" s="1" t="s">
        <v>246</v>
      </c>
      <c r="J170" s="1">
        <v>8</v>
      </c>
      <c r="K170" s="1" t="s">
        <v>247</v>
      </c>
      <c r="L170" s="1" t="s">
        <v>176</v>
      </c>
      <c r="M170" s="1" t="s">
        <v>176</v>
      </c>
      <c r="N170" s="1" t="s">
        <v>225</v>
      </c>
      <c r="O170" s="21">
        <f>66.25*94</f>
        <v>6227.5</v>
      </c>
      <c r="P170" s="1" t="s">
        <v>631</v>
      </c>
    </row>
    <row r="171" spans="1:16" x14ac:dyDescent="0.2">
      <c r="A171" s="1" t="s">
        <v>170</v>
      </c>
      <c r="B171" s="1" t="s">
        <v>172</v>
      </c>
      <c r="C171" s="1">
        <v>2012</v>
      </c>
      <c r="D171" s="1">
        <v>2011</v>
      </c>
      <c r="E171" s="1">
        <v>2004</v>
      </c>
      <c r="F171" s="1" t="s">
        <v>281</v>
      </c>
      <c r="G171" s="1" t="s">
        <v>244</v>
      </c>
      <c r="H171" s="1" t="s">
        <v>245</v>
      </c>
      <c r="I171" s="1" t="s">
        <v>246</v>
      </c>
      <c r="J171" s="1">
        <v>0.625</v>
      </c>
      <c r="K171" s="1" t="s">
        <v>247</v>
      </c>
      <c r="L171" s="1" t="s">
        <v>176</v>
      </c>
      <c r="M171" s="1" t="s">
        <v>176</v>
      </c>
      <c r="N171" s="1" t="s">
        <v>228</v>
      </c>
      <c r="O171" s="21">
        <f>66.25*1</f>
        <v>66.25</v>
      </c>
      <c r="P171" s="1" t="s">
        <v>631</v>
      </c>
    </row>
    <row r="172" spans="1:16" x14ac:dyDescent="0.2">
      <c r="A172" s="1" t="s">
        <v>170</v>
      </c>
      <c r="B172" s="1" t="s">
        <v>172</v>
      </c>
      <c r="C172" s="1">
        <v>2012</v>
      </c>
      <c r="D172" s="1">
        <v>2011</v>
      </c>
      <c r="E172" s="1">
        <v>2004</v>
      </c>
      <c r="F172" s="1" t="s">
        <v>281</v>
      </c>
      <c r="G172" s="1" t="s">
        <v>244</v>
      </c>
      <c r="H172" s="1" t="s">
        <v>245</v>
      </c>
      <c r="I172" s="1" t="s">
        <v>246</v>
      </c>
      <c r="J172" s="1">
        <v>0.75</v>
      </c>
      <c r="K172" s="1" t="s">
        <v>247</v>
      </c>
      <c r="L172" s="1" t="s">
        <v>176</v>
      </c>
      <c r="M172" s="1" t="s">
        <v>176</v>
      </c>
      <c r="N172" s="1" t="s">
        <v>228</v>
      </c>
      <c r="O172" s="21">
        <f>66.25*2</f>
        <v>132.5</v>
      </c>
      <c r="P172" s="1" t="s">
        <v>631</v>
      </c>
    </row>
    <row r="173" spans="1:16" x14ac:dyDescent="0.2">
      <c r="A173" s="1" t="s">
        <v>170</v>
      </c>
      <c r="B173" s="1" t="s">
        <v>172</v>
      </c>
      <c r="C173" s="1">
        <v>2012</v>
      </c>
      <c r="D173" s="1">
        <v>2011</v>
      </c>
      <c r="E173" s="1">
        <v>2004</v>
      </c>
      <c r="F173" s="1" t="s">
        <v>281</v>
      </c>
      <c r="G173" s="1" t="s">
        <v>244</v>
      </c>
      <c r="H173" s="1" t="s">
        <v>245</v>
      </c>
      <c r="I173" s="1" t="s">
        <v>246</v>
      </c>
      <c r="J173" s="1">
        <v>1</v>
      </c>
      <c r="K173" s="1" t="s">
        <v>247</v>
      </c>
      <c r="L173" s="1" t="s">
        <v>176</v>
      </c>
      <c r="M173" s="1" t="s">
        <v>176</v>
      </c>
      <c r="N173" s="1" t="s">
        <v>228</v>
      </c>
      <c r="O173" s="21">
        <f>66.25*3</f>
        <v>198.75</v>
      </c>
      <c r="P173" s="1" t="s">
        <v>631</v>
      </c>
    </row>
    <row r="174" spans="1:16" x14ac:dyDescent="0.2">
      <c r="A174" s="1" t="s">
        <v>170</v>
      </c>
      <c r="B174" s="1" t="s">
        <v>172</v>
      </c>
      <c r="C174" s="1">
        <v>2012</v>
      </c>
      <c r="D174" s="1">
        <v>2011</v>
      </c>
      <c r="E174" s="1">
        <v>2004</v>
      </c>
      <c r="F174" s="1" t="s">
        <v>281</v>
      </c>
      <c r="G174" s="1" t="s">
        <v>244</v>
      </c>
      <c r="H174" s="1" t="s">
        <v>245</v>
      </c>
      <c r="I174" s="1" t="s">
        <v>246</v>
      </c>
      <c r="J174" s="1">
        <v>1.5</v>
      </c>
      <c r="K174" s="1" t="s">
        <v>247</v>
      </c>
      <c r="L174" s="1" t="s">
        <v>176</v>
      </c>
      <c r="M174" s="1" t="s">
        <v>176</v>
      </c>
      <c r="N174" s="1" t="s">
        <v>228</v>
      </c>
      <c r="O174" s="21">
        <f>66.25*6</f>
        <v>397.5</v>
      </c>
      <c r="P174" s="1" t="s">
        <v>631</v>
      </c>
    </row>
    <row r="175" spans="1:16" x14ac:dyDescent="0.2">
      <c r="A175" s="1" t="s">
        <v>170</v>
      </c>
      <c r="B175" s="1" t="s">
        <v>172</v>
      </c>
      <c r="C175" s="1">
        <v>2012</v>
      </c>
      <c r="D175" s="1">
        <v>2011</v>
      </c>
      <c r="E175" s="1">
        <v>2004</v>
      </c>
      <c r="F175" s="1" t="s">
        <v>281</v>
      </c>
      <c r="G175" s="1" t="s">
        <v>244</v>
      </c>
      <c r="H175" s="1" t="s">
        <v>245</v>
      </c>
      <c r="I175" s="1" t="s">
        <v>246</v>
      </c>
      <c r="J175" s="1">
        <v>2</v>
      </c>
      <c r="K175" s="1" t="s">
        <v>247</v>
      </c>
      <c r="L175" s="1" t="s">
        <v>176</v>
      </c>
      <c r="M175" s="1" t="s">
        <v>176</v>
      </c>
      <c r="N175" s="1" t="s">
        <v>228</v>
      </c>
      <c r="O175" s="21">
        <f>66.25*11</f>
        <v>728.75</v>
      </c>
      <c r="P175" s="1" t="s">
        <v>631</v>
      </c>
    </row>
    <row r="176" spans="1:16" x14ac:dyDescent="0.2">
      <c r="A176" s="1" t="s">
        <v>170</v>
      </c>
      <c r="B176" s="1" t="s">
        <v>172</v>
      </c>
      <c r="C176" s="1">
        <v>2012</v>
      </c>
      <c r="D176" s="1">
        <v>2011</v>
      </c>
      <c r="E176" s="1">
        <v>2004</v>
      </c>
      <c r="F176" s="1" t="s">
        <v>281</v>
      </c>
      <c r="G176" s="1" t="s">
        <v>244</v>
      </c>
      <c r="H176" s="1" t="s">
        <v>245</v>
      </c>
      <c r="I176" s="1" t="s">
        <v>246</v>
      </c>
      <c r="J176" s="1">
        <v>3</v>
      </c>
      <c r="K176" s="1" t="s">
        <v>247</v>
      </c>
      <c r="L176" s="1" t="s">
        <v>176</v>
      </c>
      <c r="M176" s="1" t="s">
        <v>176</v>
      </c>
      <c r="N176" s="1" t="s">
        <v>228</v>
      </c>
      <c r="O176" s="21">
        <f>66.25*23</f>
        <v>1523.75</v>
      </c>
      <c r="P176" s="1" t="s">
        <v>631</v>
      </c>
    </row>
    <row r="177" spans="1:16" x14ac:dyDescent="0.2">
      <c r="A177" s="1" t="s">
        <v>170</v>
      </c>
      <c r="B177" s="1" t="s">
        <v>172</v>
      </c>
      <c r="C177" s="1">
        <v>2012</v>
      </c>
      <c r="D177" s="1">
        <v>2011</v>
      </c>
      <c r="E177" s="1">
        <v>2004</v>
      </c>
      <c r="F177" s="1" t="s">
        <v>281</v>
      </c>
      <c r="G177" s="1" t="s">
        <v>244</v>
      </c>
      <c r="H177" s="1" t="s">
        <v>245</v>
      </c>
      <c r="I177" s="1" t="s">
        <v>246</v>
      </c>
      <c r="J177" s="1">
        <v>4</v>
      </c>
      <c r="K177" s="1" t="s">
        <v>247</v>
      </c>
      <c r="L177" s="1" t="s">
        <v>176</v>
      </c>
      <c r="M177" s="1" t="s">
        <v>176</v>
      </c>
      <c r="N177" s="1" t="s">
        <v>228</v>
      </c>
      <c r="O177" s="21">
        <f>66.25*41</f>
        <v>2716.25</v>
      </c>
      <c r="P177" s="1" t="s">
        <v>631</v>
      </c>
    </row>
    <row r="178" spans="1:16" x14ac:dyDescent="0.2">
      <c r="A178" s="1" t="s">
        <v>170</v>
      </c>
      <c r="B178" s="1" t="s">
        <v>172</v>
      </c>
      <c r="C178" s="1">
        <v>2012</v>
      </c>
      <c r="D178" s="1">
        <v>2011</v>
      </c>
      <c r="E178" s="1">
        <v>2004</v>
      </c>
      <c r="F178" s="1" t="s">
        <v>281</v>
      </c>
      <c r="G178" s="1" t="s">
        <v>244</v>
      </c>
      <c r="H178" s="1" t="s">
        <v>245</v>
      </c>
      <c r="I178" s="1" t="s">
        <v>246</v>
      </c>
      <c r="J178" s="1">
        <v>6</v>
      </c>
      <c r="K178" s="1" t="s">
        <v>247</v>
      </c>
      <c r="L178" s="1" t="s">
        <v>176</v>
      </c>
      <c r="M178" s="1" t="s">
        <v>176</v>
      </c>
      <c r="N178" s="1" t="s">
        <v>228</v>
      </c>
      <c r="O178" s="21">
        <f>66.25*64</f>
        <v>4240</v>
      </c>
      <c r="P178" s="1" t="s">
        <v>631</v>
      </c>
    </row>
    <row r="179" spans="1:16" x14ac:dyDescent="0.2">
      <c r="A179" s="1" t="s">
        <v>170</v>
      </c>
      <c r="B179" s="1" t="s">
        <v>172</v>
      </c>
      <c r="C179" s="1">
        <v>2012</v>
      </c>
      <c r="D179" s="1">
        <v>2011</v>
      </c>
      <c r="E179" s="1">
        <v>2004</v>
      </c>
      <c r="F179" s="1" t="s">
        <v>281</v>
      </c>
      <c r="G179" s="1" t="s">
        <v>244</v>
      </c>
      <c r="H179" s="1" t="s">
        <v>245</v>
      </c>
      <c r="I179" s="1" t="s">
        <v>246</v>
      </c>
      <c r="J179" s="1">
        <v>8</v>
      </c>
      <c r="K179" s="1" t="s">
        <v>247</v>
      </c>
      <c r="L179" s="1" t="s">
        <v>176</v>
      </c>
      <c r="M179" s="1" t="s">
        <v>176</v>
      </c>
      <c r="N179" s="1" t="s">
        <v>228</v>
      </c>
      <c r="O179" s="21">
        <f>66.25*94</f>
        <v>6227.5</v>
      </c>
      <c r="P179" s="1" t="s">
        <v>631</v>
      </c>
    </row>
    <row r="180" spans="1:16" x14ac:dyDescent="0.2">
      <c r="A180" s="1" t="s">
        <v>170</v>
      </c>
      <c r="B180" s="1" t="s">
        <v>172</v>
      </c>
      <c r="C180" s="1">
        <v>2012</v>
      </c>
      <c r="D180" s="1">
        <v>2011</v>
      </c>
      <c r="E180" s="1">
        <v>2004</v>
      </c>
      <c r="F180" s="1" t="s">
        <v>281</v>
      </c>
      <c r="G180" s="1" t="s">
        <v>244</v>
      </c>
      <c r="H180" s="1" t="s">
        <v>245</v>
      </c>
      <c r="I180" s="1" t="s">
        <v>246</v>
      </c>
      <c r="J180" s="1">
        <v>0.625</v>
      </c>
      <c r="K180" s="1" t="s">
        <v>247</v>
      </c>
      <c r="L180" s="1" t="s">
        <v>176</v>
      </c>
      <c r="M180" s="1" t="s">
        <v>176</v>
      </c>
      <c r="N180" s="1" t="s">
        <v>229</v>
      </c>
      <c r="O180" s="21">
        <f>66.25*1</f>
        <v>66.25</v>
      </c>
      <c r="P180" s="1" t="s">
        <v>631</v>
      </c>
    </row>
    <row r="181" spans="1:16" x14ac:dyDescent="0.2">
      <c r="A181" s="1" t="s">
        <v>170</v>
      </c>
      <c r="B181" s="1" t="s">
        <v>172</v>
      </c>
      <c r="C181" s="1">
        <v>2012</v>
      </c>
      <c r="D181" s="1">
        <v>2011</v>
      </c>
      <c r="E181" s="1">
        <v>2004</v>
      </c>
      <c r="F181" s="1" t="s">
        <v>281</v>
      </c>
      <c r="G181" s="1" t="s">
        <v>244</v>
      </c>
      <c r="H181" s="1" t="s">
        <v>245</v>
      </c>
      <c r="I181" s="1" t="s">
        <v>246</v>
      </c>
      <c r="J181" s="1">
        <v>0.75</v>
      </c>
      <c r="K181" s="1" t="s">
        <v>247</v>
      </c>
      <c r="L181" s="1" t="s">
        <v>176</v>
      </c>
      <c r="M181" s="1" t="s">
        <v>176</v>
      </c>
      <c r="N181" s="1" t="s">
        <v>229</v>
      </c>
      <c r="O181" s="21">
        <f>66.25*2</f>
        <v>132.5</v>
      </c>
      <c r="P181" s="1" t="s">
        <v>631</v>
      </c>
    </row>
    <row r="182" spans="1:16" x14ac:dyDescent="0.2">
      <c r="A182" s="1" t="s">
        <v>170</v>
      </c>
      <c r="B182" s="1" t="s">
        <v>172</v>
      </c>
      <c r="C182" s="1">
        <v>2012</v>
      </c>
      <c r="D182" s="1">
        <v>2011</v>
      </c>
      <c r="E182" s="1">
        <v>2004</v>
      </c>
      <c r="F182" s="1" t="s">
        <v>281</v>
      </c>
      <c r="G182" s="1" t="s">
        <v>244</v>
      </c>
      <c r="H182" s="1" t="s">
        <v>245</v>
      </c>
      <c r="I182" s="1" t="s">
        <v>246</v>
      </c>
      <c r="J182" s="1">
        <v>1</v>
      </c>
      <c r="K182" s="1" t="s">
        <v>247</v>
      </c>
      <c r="L182" s="1" t="s">
        <v>176</v>
      </c>
      <c r="M182" s="1" t="s">
        <v>176</v>
      </c>
      <c r="N182" s="1" t="s">
        <v>229</v>
      </c>
      <c r="O182" s="21">
        <f>66.25*3</f>
        <v>198.75</v>
      </c>
      <c r="P182" s="1" t="s">
        <v>631</v>
      </c>
    </row>
    <row r="183" spans="1:16" x14ac:dyDescent="0.2">
      <c r="A183" s="1" t="s">
        <v>170</v>
      </c>
      <c r="B183" s="1" t="s">
        <v>172</v>
      </c>
      <c r="C183" s="1">
        <v>2012</v>
      </c>
      <c r="D183" s="1">
        <v>2011</v>
      </c>
      <c r="E183" s="1">
        <v>2004</v>
      </c>
      <c r="F183" s="1" t="s">
        <v>281</v>
      </c>
      <c r="G183" s="1" t="s">
        <v>244</v>
      </c>
      <c r="H183" s="1" t="s">
        <v>245</v>
      </c>
      <c r="I183" s="1" t="s">
        <v>246</v>
      </c>
      <c r="J183" s="1">
        <v>1.5</v>
      </c>
      <c r="K183" s="1" t="s">
        <v>247</v>
      </c>
      <c r="L183" s="1" t="s">
        <v>176</v>
      </c>
      <c r="M183" s="1" t="s">
        <v>176</v>
      </c>
      <c r="N183" s="1" t="s">
        <v>229</v>
      </c>
      <c r="O183" s="21">
        <f>66.25*6</f>
        <v>397.5</v>
      </c>
      <c r="P183" s="1" t="s">
        <v>631</v>
      </c>
    </row>
    <row r="184" spans="1:16" x14ac:dyDescent="0.2">
      <c r="A184" s="1" t="s">
        <v>170</v>
      </c>
      <c r="B184" s="1" t="s">
        <v>172</v>
      </c>
      <c r="C184" s="1">
        <v>2012</v>
      </c>
      <c r="D184" s="1">
        <v>2011</v>
      </c>
      <c r="E184" s="1">
        <v>2004</v>
      </c>
      <c r="F184" s="1" t="s">
        <v>281</v>
      </c>
      <c r="G184" s="1" t="s">
        <v>244</v>
      </c>
      <c r="H184" s="1" t="s">
        <v>245</v>
      </c>
      <c r="I184" s="1" t="s">
        <v>246</v>
      </c>
      <c r="J184" s="1">
        <v>2</v>
      </c>
      <c r="K184" s="1" t="s">
        <v>247</v>
      </c>
      <c r="L184" s="1" t="s">
        <v>176</v>
      </c>
      <c r="M184" s="1" t="s">
        <v>176</v>
      </c>
      <c r="N184" s="1" t="s">
        <v>229</v>
      </c>
      <c r="O184" s="21">
        <f>66.25*11</f>
        <v>728.75</v>
      </c>
      <c r="P184" s="1" t="s">
        <v>631</v>
      </c>
    </row>
    <row r="185" spans="1:16" x14ac:dyDescent="0.2">
      <c r="A185" s="1" t="s">
        <v>170</v>
      </c>
      <c r="B185" s="1" t="s">
        <v>172</v>
      </c>
      <c r="C185" s="1">
        <v>2012</v>
      </c>
      <c r="D185" s="1">
        <v>2011</v>
      </c>
      <c r="E185" s="1">
        <v>2004</v>
      </c>
      <c r="F185" s="1" t="s">
        <v>281</v>
      </c>
      <c r="G185" s="1" t="s">
        <v>244</v>
      </c>
      <c r="H185" s="1" t="s">
        <v>245</v>
      </c>
      <c r="I185" s="1" t="s">
        <v>246</v>
      </c>
      <c r="J185" s="1">
        <v>3</v>
      </c>
      <c r="K185" s="1" t="s">
        <v>247</v>
      </c>
      <c r="L185" s="1" t="s">
        <v>176</v>
      </c>
      <c r="M185" s="1" t="s">
        <v>176</v>
      </c>
      <c r="N185" s="1" t="s">
        <v>229</v>
      </c>
      <c r="O185" s="21">
        <f>66.25*23</f>
        <v>1523.75</v>
      </c>
      <c r="P185" s="1" t="s">
        <v>631</v>
      </c>
    </row>
    <row r="186" spans="1:16" x14ac:dyDescent="0.2">
      <c r="A186" s="1" t="s">
        <v>170</v>
      </c>
      <c r="B186" s="1" t="s">
        <v>172</v>
      </c>
      <c r="C186" s="1">
        <v>2012</v>
      </c>
      <c r="D186" s="1">
        <v>2011</v>
      </c>
      <c r="E186" s="1">
        <v>2004</v>
      </c>
      <c r="F186" s="1" t="s">
        <v>281</v>
      </c>
      <c r="G186" s="1" t="s">
        <v>244</v>
      </c>
      <c r="H186" s="1" t="s">
        <v>245</v>
      </c>
      <c r="I186" s="1" t="s">
        <v>246</v>
      </c>
      <c r="J186" s="1">
        <v>4</v>
      </c>
      <c r="K186" s="1" t="s">
        <v>247</v>
      </c>
      <c r="L186" s="1" t="s">
        <v>176</v>
      </c>
      <c r="M186" s="1" t="s">
        <v>176</v>
      </c>
      <c r="N186" s="1" t="s">
        <v>229</v>
      </c>
      <c r="O186" s="21">
        <f>66.25*41</f>
        <v>2716.25</v>
      </c>
      <c r="P186" s="1" t="s">
        <v>631</v>
      </c>
    </row>
    <row r="187" spans="1:16" x14ac:dyDescent="0.2">
      <c r="A187" s="1" t="s">
        <v>170</v>
      </c>
      <c r="B187" s="1" t="s">
        <v>172</v>
      </c>
      <c r="C187" s="1">
        <v>2012</v>
      </c>
      <c r="D187" s="1">
        <v>2011</v>
      </c>
      <c r="E187" s="1">
        <v>2004</v>
      </c>
      <c r="F187" s="1" t="s">
        <v>281</v>
      </c>
      <c r="G187" s="1" t="s">
        <v>244</v>
      </c>
      <c r="H187" s="1" t="s">
        <v>245</v>
      </c>
      <c r="I187" s="1" t="s">
        <v>246</v>
      </c>
      <c r="J187" s="1">
        <v>6</v>
      </c>
      <c r="K187" s="1" t="s">
        <v>247</v>
      </c>
      <c r="L187" s="1" t="s">
        <v>176</v>
      </c>
      <c r="M187" s="1" t="s">
        <v>176</v>
      </c>
      <c r="N187" s="1" t="s">
        <v>229</v>
      </c>
      <c r="O187" s="21">
        <f>66.25*64</f>
        <v>4240</v>
      </c>
      <c r="P187" s="1" t="s">
        <v>631</v>
      </c>
    </row>
    <row r="188" spans="1:16" x14ac:dyDescent="0.2">
      <c r="A188" s="1" t="s">
        <v>170</v>
      </c>
      <c r="B188" s="1" t="s">
        <v>172</v>
      </c>
      <c r="C188" s="1">
        <v>2012</v>
      </c>
      <c r="D188" s="1">
        <v>2011</v>
      </c>
      <c r="E188" s="1">
        <v>2004</v>
      </c>
      <c r="F188" s="1" t="s">
        <v>281</v>
      </c>
      <c r="G188" s="1" t="s">
        <v>244</v>
      </c>
      <c r="H188" s="1" t="s">
        <v>245</v>
      </c>
      <c r="I188" s="1" t="s">
        <v>246</v>
      </c>
      <c r="J188" s="1">
        <v>8</v>
      </c>
      <c r="K188" s="1" t="s">
        <v>247</v>
      </c>
      <c r="L188" s="1" t="s">
        <v>176</v>
      </c>
      <c r="M188" s="1" t="s">
        <v>176</v>
      </c>
      <c r="N188" s="1" t="s">
        <v>229</v>
      </c>
      <c r="O188" s="21">
        <f>66.25*94</f>
        <v>6227.5</v>
      </c>
      <c r="P188" s="1" t="s">
        <v>631</v>
      </c>
    </row>
    <row r="189" spans="1:16" x14ac:dyDescent="0.2">
      <c r="A189" s="1" t="s">
        <v>170</v>
      </c>
      <c r="B189" s="1" t="s">
        <v>172</v>
      </c>
      <c r="C189" s="1">
        <v>2012</v>
      </c>
      <c r="D189" s="1">
        <v>2011</v>
      </c>
      <c r="E189" s="1">
        <v>2004</v>
      </c>
      <c r="F189" s="1" t="s">
        <v>281</v>
      </c>
      <c r="G189" s="1" t="s">
        <v>244</v>
      </c>
      <c r="H189" s="1" t="s">
        <v>250</v>
      </c>
      <c r="I189" s="1" t="s">
        <v>176</v>
      </c>
      <c r="J189" s="1" t="s">
        <v>176</v>
      </c>
      <c r="K189" s="1" t="s">
        <v>252</v>
      </c>
      <c r="L189" s="1" t="s">
        <v>176</v>
      </c>
      <c r="M189" s="1" t="s">
        <v>176</v>
      </c>
      <c r="N189" s="1" t="s">
        <v>176</v>
      </c>
      <c r="O189" s="21">
        <v>2.23</v>
      </c>
      <c r="P189" s="1" t="s">
        <v>254</v>
      </c>
    </row>
    <row r="190" spans="1:16" x14ac:dyDescent="0.2">
      <c r="A190" s="1" t="s">
        <v>170</v>
      </c>
      <c r="B190" s="1" t="s">
        <v>172</v>
      </c>
      <c r="C190" s="1">
        <v>2012</v>
      </c>
      <c r="D190" s="1">
        <v>2011</v>
      </c>
      <c r="E190" s="1">
        <v>2011</v>
      </c>
      <c r="F190" s="1" t="s">
        <v>173</v>
      </c>
      <c r="G190" s="1" t="s">
        <v>244</v>
      </c>
      <c r="H190" s="1" t="s">
        <v>245</v>
      </c>
      <c r="I190" s="1" t="s">
        <v>246</v>
      </c>
      <c r="J190" s="1">
        <v>0.625</v>
      </c>
      <c r="K190" s="1" t="s">
        <v>247</v>
      </c>
      <c r="L190" s="1">
        <v>0</v>
      </c>
      <c r="M190" s="1" t="s">
        <v>248</v>
      </c>
      <c r="N190" s="1" t="s">
        <v>217</v>
      </c>
      <c r="O190" s="21">
        <v>35</v>
      </c>
      <c r="P190" s="1" t="s">
        <v>249</v>
      </c>
    </row>
    <row r="191" spans="1:16" x14ac:dyDescent="0.2">
      <c r="A191" s="1" t="s">
        <v>170</v>
      </c>
      <c r="B191" s="1" t="s">
        <v>172</v>
      </c>
      <c r="C191" s="1">
        <v>2012</v>
      </c>
      <c r="D191" s="1">
        <v>2011</v>
      </c>
      <c r="E191" s="1">
        <v>2011</v>
      </c>
      <c r="F191" s="1" t="s">
        <v>173</v>
      </c>
      <c r="G191" s="1" t="s">
        <v>244</v>
      </c>
      <c r="H191" s="1" t="s">
        <v>245</v>
      </c>
      <c r="I191" s="1" t="s">
        <v>246</v>
      </c>
      <c r="J191" s="1">
        <v>0.75</v>
      </c>
      <c r="K191" s="1" t="s">
        <v>247</v>
      </c>
      <c r="L191" s="1">
        <v>0</v>
      </c>
      <c r="M191" s="1" t="s">
        <v>248</v>
      </c>
      <c r="N191" s="1" t="s">
        <v>217</v>
      </c>
      <c r="O191" s="21">
        <v>35</v>
      </c>
      <c r="P191" s="1" t="s">
        <v>249</v>
      </c>
    </row>
    <row r="192" spans="1:16" x14ac:dyDescent="0.2">
      <c r="A192" s="1" t="s">
        <v>170</v>
      </c>
      <c r="B192" s="1" t="s">
        <v>172</v>
      </c>
      <c r="C192" s="1">
        <v>2012</v>
      </c>
      <c r="D192" s="1">
        <v>2011</v>
      </c>
      <c r="E192" s="1">
        <v>2011</v>
      </c>
      <c r="F192" s="1" t="s">
        <v>173</v>
      </c>
      <c r="G192" s="1" t="s">
        <v>244</v>
      </c>
      <c r="H192" s="1" t="s">
        <v>245</v>
      </c>
      <c r="I192" s="1" t="s">
        <v>246</v>
      </c>
      <c r="J192" s="1">
        <v>1</v>
      </c>
      <c r="K192" s="1" t="s">
        <v>247</v>
      </c>
      <c r="L192" s="1">
        <v>0</v>
      </c>
      <c r="M192" s="1" t="s">
        <v>248</v>
      </c>
      <c r="N192" s="1" t="s">
        <v>217</v>
      </c>
      <c r="O192" s="21">
        <v>69</v>
      </c>
      <c r="P192" s="1" t="s">
        <v>249</v>
      </c>
    </row>
    <row r="193" spans="1:16" x14ac:dyDescent="0.2">
      <c r="A193" s="1" t="s">
        <v>170</v>
      </c>
      <c r="B193" s="1" t="s">
        <v>172</v>
      </c>
      <c r="C193" s="1">
        <v>2012</v>
      </c>
      <c r="D193" s="1">
        <v>2011</v>
      </c>
      <c r="E193" s="1">
        <v>2011</v>
      </c>
      <c r="F193" s="1" t="s">
        <v>173</v>
      </c>
      <c r="G193" s="1" t="s">
        <v>244</v>
      </c>
      <c r="H193" s="1" t="s">
        <v>245</v>
      </c>
      <c r="I193" s="1" t="s">
        <v>246</v>
      </c>
      <c r="J193" s="1">
        <v>1.5</v>
      </c>
      <c r="K193" s="1" t="s">
        <v>247</v>
      </c>
      <c r="L193" s="1">
        <v>0</v>
      </c>
      <c r="M193" s="1" t="s">
        <v>248</v>
      </c>
      <c r="N193" s="1" t="s">
        <v>217</v>
      </c>
      <c r="O193" s="21">
        <v>135</v>
      </c>
      <c r="P193" s="1" t="s">
        <v>249</v>
      </c>
    </row>
    <row r="194" spans="1:16" x14ac:dyDescent="0.2">
      <c r="A194" s="1" t="s">
        <v>170</v>
      </c>
      <c r="B194" s="1" t="s">
        <v>172</v>
      </c>
      <c r="C194" s="1">
        <v>2012</v>
      </c>
      <c r="D194" s="1">
        <v>2011</v>
      </c>
      <c r="E194" s="1">
        <v>2011</v>
      </c>
      <c r="F194" s="1" t="s">
        <v>173</v>
      </c>
      <c r="G194" s="1" t="s">
        <v>244</v>
      </c>
      <c r="H194" s="1" t="s">
        <v>245</v>
      </c>
      <c r="I194" s="1" t="s">
        <v>246</v>
      </c>
      <c r="J194" s="1">
        <v>2</v>
      </c>
      <c r="K194" s="1" t="s">
        <v>247</v>
      </c>
      <c r="L194" s="1">
        <v>0</v>
      </c>
      <c r="M194" s="1" t="s">
        <v>248</v>
      </c>
      <c r="N194" s="1" t="s">
        <v>217</v>
      </c>
      <c r="O194" s="21">
        <v>201</v>
      </c>
      <c r="P194" s="1" t="s">
        <v>249</v>
      </c>
    </row>
    <row r="195" spans="1:16" x14ac:dyDescent="0.2">
      <c r="A195" s="1" t="s">
        <v>170</v>
      </c>
      <c r="B195" s="1" t="s">
        <v>172</v>
      </c>
      <c r="C195" s="1">
        <v>2012</v>
      </c>
      <c r="D195" s="1">
        <v>2011</v>
      </c>
      <c r="E195" s="1">
        <v>2011</v>
      </c>
      <c r="F195" s="1" t="s">
        <v>173</v>
      </c>
      <c r="G195" s="1" t="s">
        <v>244</v>
      </c>
      <c r="H195" s="1" t="s">
        <v>245</v>
      </c>
      <c r="I195" s="1" t="s">
        <v>246</v>
      </c>
      <c r="J195" s="1">
        <v>3</v>
      </c>
      <c r="K195" s="1" t="s">
        <v>247</v>
      </c>
      <c r="L195" s="1">
        <v>0</v>
      </c>
      <c r="M195" s="1" t="s">
        <v>248</v>
      </c>
      <c r="N195" s="1" t="s">
        <v>217</v>
      </c>
      <c r="O195" s="21">
        <v>420</v>
      </c>
      <c r="P195" s="1" t="s">
        <v>249</v>
      </c>
    </row>
    <row r="196" spans="1:16" x14ac:dyDescent="0.2">
      <c r="A196" s="1" t="s">
        <v>170</v>
      </c>
      <c r="B196" s="1" t="s">
        <v>172</v>
      </c>
      <c r="C196" s="1">
        <v>2012</v>
      </c>
      <c r="D196" s="1">
        <v>2011</v>
      </c>
      <c r="E196" s="1">
        <v>2011</v>
      </c>
      <c r="F196" s="1" t="s">
        <v>173</v>
      </c>
      <c r="G196" s="1" t="s">
        <v>244</v>
      </c>
      <c r="H196" s="1" t="s">
        <v>245</v>
      </c>
      <c r="I196" s="1" t="s">
        <v>246</v>
      </c>
      <c r="J196" s="1">
        <v>4</v>
      </c>
      <c r="K196" s="1" t="s">
        <v>247</v>
      </c>
      <c r="L196" s="1">
        <v>0</v>
      </c>
      <c r="M196" s="1" t="s">
        <v>248</v>
      </c>
      <c r="N196" s="1" t="s">
        <v>217</v>
      </c>
      <c r="O196" s="21">
        <v>615</v>
      </c>
      <c r="P196" s="1" t="s">
        <v>249</v>
      </c>
    </row>
    <row r="197" spans="1:16" x14ac:dyDescent="0.2">
      <c r="A197" s="1" t="s">
        <v>170</v>
      </c>
      <c r="B197" s="1" t="s">
        <v>172</v>
      </c>
      <c r="C197" s="1">
        <v>2012</v>
      </c>
      <c r="D197" s="1">
        <v>2011</v>
      </c>
      <c r="E197" s="1">
        <v>2011</v>
      </c>
      <c r="F197" s="1" t="s">
        <v>173</v>
      </c>
      <c r="G197" s="1" t="s">
        <v>244</v>
      </c>
      <c r="H197" s="1" t="s">
        <v>245</v>
      </c>
      <c r="I197" s="1" t="s">
        <v>246</v>
      </c>
      <c r="J197" s="1">
        <v>6</v>
      </c>
      <c r="K197" s="1" t="s">
        <v>247</v>
      </c>
      <c r="L197" s="1">
        <v>0</v>
      </c>
      <c r="M197" s="1" t="s">
        <v>248</v>
      </c>
      <c r="N197" s="1" t="s">
        <v>217</v>
      </c>
      <c r="O197" s="21">
        <v>1153</v>
      </c>
      <c r="P197" s="1" t="s">
        <v>249</v>
      </c>
    </row>
    <row r="198" spans="1:16" x14ac:dyDescent="0.2">
      <c r="A198" s="1" t="s">
        <v>170</v>
      </c>
      <c r="B198" s="1" t="s">
        <v>172</v>
      </c>
      <c r="C198" s="1">
        <v>2012</v>
      </c>
      <c r="D198" s="1">
        <v>2011</v>
      </c>
      <c r="E198" s="1">
        <v>2011</v>
      </c>
      <c r="F198" s="1" t="s">
        <v>173</v>
      </c>
      <c r="G198" s="1" t="s">
        <v>244</v>
      </c>
      <c r="H198" s="1" t="s">
        <v>245</v>
      </c>
      <c r="I198" s="1" t="s">
        <v>246</v>
      </c>
      <c r="J198" s="1">
        <v>8</v>
      </c>
      <c r="K198" s="1" t="s">
        <v>247</v>
      </c>
      <c r="L198" s="1">
        <v>0</v>
      </c>
      <c r="M198" s="1" t="s">
        <v>248</v>
      </c>
      <c r="N198" s="1" t="s">
        <v>217</v>
      </c>
      <c r="O198" s="21">
        <v>1791</v>
      </c>
      <c r="P198" s="1" t="s">
        <v>249</v>
      </c>
    </row>
    <row r="199" spans="1:16" x14ac:dyDescent="0.2">
      <c r="A199" s="1" t="s">
        <v>170</v>
      </c>
      <c r="B199" s="1" t="s">
        <v>172</v>
      </c>
      <c r="C199" s="1">
        <v>2012</v>
      </c>
      <c r="D199" s="1">
        <v>2011</v>
      </c>
      <c r="E199" s="1">
        <v>2011</v>
      </c>
      <c r="F199" s="1" t="s">
        <v>173</v>
      </c>
      <c r="G199" s="1" t="s">
        <v>244</v>
      </c>
      <c r="H199" s="1" t="s">
        <v>245</v>
      </c>
      <c r="I199" s="1" t="s">
        <v>246</v>
      </c>
      <c r="J199" s="1">
        <v>10</v>
      </c>
      <c r="K199" s="1" t="s">
        <v>247</v>
      </c>
      <c r="L199" s="1">
        <v>0</v>
      </c>
      <c r="M199" s="1" t="s">
        <v>248</v>
      </c>
      <c r="N199" s="1" t="s">
        <v>217</v>
      </c>
      <c r="O199" s="21">
        <v>2185</v>
      </c>
      <c r="P199" s="1" t="s">
        <v>249</v>
      </c>
    </row>
    <row r="200" spans="1:16" x14ac:dyDescent="0.2">
      <c r="A200" s="1" t="s">
        <v>170</v>
      </c>
      <c r="B200" s="1" t="s">
        <v>172</v>
      </c>
      <c r="C200" s="1">
        <v>2012</v>
      </c>
      <c r="D200" s="1">
        <v>2011</v>
      </c>
      <c r="E200" s="1">
        <v>2011</v>
      </c>
      <c r="F200" s="1" t="s">
        <v>173</v>
      </c>
      <c r="G200" s="1" t="s">
        <v>244</v>
      </c>
      <c r="H200" s="1" t="s">
        <v>245</v>
      </c>
      <c r="I200" s="1" t="s">
        <v>246</v>
      </c>
      <c r="J200" s="1">
        <v>0.625</v>
      </c>
      <c r="K200" s="1" t="s">
        <v>247</v>
      </c>
      <c r="L200" s="1">
        <v>0</v>
      </c>
      <c r="M200" s="1" t="s">
        <v>248</v>
      </c>
      <c r="N200" s="1" t="s">
        <v>218</v>
      </c>
      <c r="O200" s="21">
        <v>37</v>
      </c>
      <c r="P200" s="1" t="s">
        <v>249</v>
      </c>
    </row>
    <row r="201" spans="1:16" x14ac:dyDescent="0.2">
      <c r="A201" s="1" t="s">
        <v>170</v>
      </c>
      <c r="B201" s="1" t="s">
        <v>172</v>
      </c>
      <c r="C201" s="1">
        <v>2012</v>
      </c>
      <c r="D201" s="1">
        <v>2011</v>
      </c>
      <c r="E201" s="1">
        <v>2011</v>
      </c>
      <c r="F201" s="1" t="s">
        <v>173</v>
      </c>
      <c r="G201" s="1" t="s">
        <v>244</v>
      </c>
      <c r="H201" s="1" t="s">
        <v>245</v>
      </c>
      <c r="I201" s="1" t="s">
        <v>246</v>
      </c>
      <c r="J201" s="1">
        <v>0.75</v>
      </c>
      <c r="K201" s="1" t="s">
        <v>247</v>
      </c>
      <c r="L201" s="1">
        <v>0</v>
      </c>
      <c r="M201" s="1" t="s">
        <v>248</v>
      </c>
      <c r="N201" s="1" t="s">
        <v>218</v>
      </c>
      <c r="O201" s="21">
        <v>37</v>
      </c>
      <c r="P201" s="1" t="s">
        <v>249</v>
      </c>
    </row>
    <row r="202" spans="1:16" x14ac:dyDescent="0.2">
      <c r="A202" s="1" t="s">
        <v>170</v>
      </c>
      <c r="B202" s="1" t="s">
        <v>172</v>
      </c>
      <c r="C202" s="1">
        <v>2012</v>
      </c>
      <c r="D202" s="1">
        <v>2011</v>
      </c>
      <c r="E202" s="1">
        <v>2011</v>
      </c>
      <c r="F202" s="1" t="s">
        <v>173</v>
      </c>
      <c r="G202" s="1" t="s">
        <v>244</v>
      </c>
      <c r="H202" s="1" t="s">
        <v>245</v>
      </c>
      <c r="I202" s="1" t="s">
        <v>246</v>
      </c>
      <c r="J202" s="1">
        <v>1</v>
      </c>
      <c r="K202" s="1" t="s">
        <v>247</v>
      </c>
      <c r="L202" s="1">
        <v>0</v>
      </c>
      <c r="M202" s="1" t="s">
        <v>248</v>
      </c>
      <c r="N202" s="1" t="s">
        <v>218</v>
      </c>
      <c r="O202" s="21">
        <v>71</v>
      </c>
      <c r="P202" s="1" t="s">
        <v>249</v>
      </c>
    </row>
    <row r="203" spans="1:16" x14ac:dyDescent="0.2">
      <c r="A203" s="1" t="s">
        <v>170</v>
      </c>
      <c r="B203" s="1" t="s">
        <v>172</v>
      </c>
      <c r="C203" s="1">
        <v>2012</v>
      </c>
      <c r="D203" s="1">
        <v>2011</v>
      </c>
      <c r="E203" s="1">
        <v>2011</v>
      </c>
      <c r="F203" s="1" t="s">
        <v>173</v>
      </c>
      <c r="G203" s="1" t="s">
        <v>244</v>
      </c>
      <c r="H203" s="1" t="s">
        <v>245</v>
      </c>
      <c r="I203" s="1" t="s">
        <v>246</v>
      </c>
      <c r="J203" s="1">
        <v>1.5</v>
      </c>
      <c r="K203" s="1" t="s">
        <v>247</v>
      </c>
      <c r="L203" s="1">
        <v>0</v>
      </c>
      <c r="M203" s="1" t="s">
        <v>248</v>
      </c>
      <c r="N203" s="1" t="s">
        <v>218</v>
      </c>
      <c r="O203" s="21">
        <v>137</v>
      </c>
      <c r="P203" s="1" t="s">
        <v>249</v>
      </c>
    </row>
    <row r="204" spans="1:16" x14ac:dyDescent="0.2">
      <c r="A204" s="1" t="s">
        <v>170</v>
      </c>
      <c r="B204" s="1" t="s">
        <v>172</v>
      </c>
      <c r="C204" s="1">
        <v>2012</v>
      </c>
      <c r="D204" s="1">
        <v>2011</v>
      </c>
      <c r="E204" s="1">
        <v>2011</v>
      </c>
      <c r="F204" s="1" t="s">
        <v>173</v>
      </c>
      <c r="G204" s="1" t="s">
        <v>244</v>
      </c>
      <c r="H204" s="1" t="s">
        <v>245</v>
      </c>
      <c r="I204" s="1" t="s">
        <v>246</v>
      </c>
      <c r="J204" s="1">
        <v>2</v>
      </c>
      <c r="K204" s="1" t="s">
        <v>247</v>
      </c>
      <c r="L204" s="1">
        <v>0</v>
      </c>
      <c r="M204" s="1" t="s">
        <v>248</v>
      </c>
      <c r="N204" s="1" t="s">
        <v>218</v>
      </c>
      <c r="O204" s="21">
        <v>203</v>
      </c>
      <c r="P204" s="1" t="s">
        <v>249</v>
      </c>
    </row>
    <row r="205" spans="1:16" x14ac:dyDescent="0.2">
      <c r="A205" s="1" t="s">
        <v>170</v>
      </c>
      <c r="B205" s="1" t="s">
        <v>172</v>
      </c>
      <c r="C205" s="1">
        <v>2012</v>
      </c>
      <c r="D205" s="1">
        <v>2011</v>
      </c>
      <c r="E205" s="1">
        <v>2011</v>
      </c>
      <c r="F205" s="1" t="s">
        <v>173</v>
      </c>
      <c r="G205" s="1" t="s">
        <v>244</v>
      </c>
      <c r="H205" s="1" t="s">
        <v>245</v>
      </c>
      <c r="I205" s="1" t="s">
        <v>246</v>
      </c>
      <c r="J205" s="1">
        <v>3</v>
      </c>
      <c r="K205" s="1" t="s">
        <v>247</v>
      </c>
      <c r="L205" s="1">
        <v>0</v>
      </c>
      <c r="M205" s="1" t="s">
        <v>248</v>
      </c>
      <c r="N205" s="1" t="s">
        <v>218</v>
      </c>
      <c r="O205" s="21">
        <v>422</v>
      </c>
      <c r="P205" s="1" t="s">
        <v>249</v>
      </c>
    </row>
    <row r="206" spans="1:16" x14ac:dyDescent="0.2">
      <c r="A206" s="1" t="s">
        <v>170</v>
      </c>
      <c r="B206" s="1" t="s">
        <v>172</v>
      </c>
      <c r="C206" s="1">
        <v>2012</v>
      </c>
      <c r="D206" s="1">
        <v>2011</v>
      </c>
      <c r="E206" s="1">
        <v>2011</v>
      </c>
      <c r="F206" s="1" t="s">
        <v>173</v>
      </c>
      <c r="G206" s="1" t="s">
        <v>244</v>
      </c>
      <c r="H206" s="1" t="s">
        <v>245</v>
      </c>
      <c r="I206" s="1" t="s">
        <v>246</v>
      </c>
      <c r="J206" s="1">
        <v>4</v>
      </c>
      <c r="K206" s="1" t="s">
        <v>247</v>
      </c>
      <c r="L206" s="1">
        <v>0</v>
      </c>
      <c r="M206" s="1" t="s">
        <v>248</v>
      </c>
      <c r="N206" s="1" t="s">
        <v>218</v>
      </c>
      <c r="O206" s="21">
        <v>617</v>
      </c>
      <c r="P206" s="1" t="s">
        <v>249</v>
      </c>
    </row>
    <row r="207" spans="1:16" x14ac:dyDescent="0.2">
      <c r="A207" s="1" t="s">
        <v>170</v>
      </c>
      <c r="B207" s="1" t="s">
        <v>172</v>
      </c>
      <c r="C207" s="1">
        <v>2012</v>
      </c>
      <c r="D207" s="1">
        <v>2011</v>
      </c>
      <c r="E207" s="1">
        <v>2011</v>
      </c>
      <c r="F207" s="1" t="s">
        <v>173</v>
      </c>
      <c r="G207" s="1" t="s">
        <v>244</v>
      </c>
      <c r="H207" s="1" t="s">
        <v>245</v>
      </c>
      <c r="I207" s="1" t="s">
        <v>246</v>
      </c>
      <c r="J207" s="1">
        <v>6</v>
      </c>
      <c r="K207" s="1" t="s">
        <v>247</v>
      </c>
      <c r="L207" s="1">
        <v>0</v>
      </c>
      <c r="M207" s="1" t="s">
        <v>248</v>
      </c>
      <c r="N207" s="1" t="s">
        <v>218</v>
      </c>
      <c r="O207" s="21">
        <v>1155</v>
      </c>
      <c r="P207" s="1" t="s">
        <v>249</v>
      </c>
    </row>
    <row r="208" spans="1:16" x14ac:dyDescent="0.2">
      <c r="A208" s="1" t="s">
        <v>170</v>
      </c>
      <c r="B208" s="1" t="s">
        <v>172</v>
      </c>
      <c r="C208" s="1">
        <v>2012</v>
      </c>
      <c r="D208" s="1">
        <v>2011</v>
      </c>
      <c r="E208" s="1">
        <v>2011</v>
      </c>
      <c r="F208" s="1" t="s">
        <v>173</v>
      </c>
      <c r="G208" s="1" t="s">
        <v>244</v>
      </c>
      <c r="H208" s="1" t="s">
        <v>245</v>
      </c>
      <c r="I208" s="1" t="s">
        <v>246</v>
      </c>
      <c r="J208" s="1">
        <v>8</v>
      </c>
      <c r="K208" s="1" t="s">
        <v>247</v>
      </c>
      <c r="L208" s="1">
        <v>0</v>
      </c>
      <c r="M208" s="1" t="s">
        <v>248</v>
      </c>
      <c r="N208" s="1" t="s">
        <v>218</v>
      </c>
      <c r="O208" s="21">
        <v>1793</v>
      </c>
      <c r="P208" s="1" t="s">
        <v>249</v>
      </c>
    </row>
    <row r="209" spans="1:16" x14ac:dyDescent="0.2">
      <c r="A209" s="1" t="s">
        <v>170</v>
      </c>
      <c r="B209" s="1" t="s">
        <v>172</v>
      </c>
      <c r="C209" s="1">
        <v>2012</v>
      </c>
      <c r="D209" s="1">
        <v>2011</v>
      </c>
      <c r="E209" s="1">
        <v>2011</v>
      </c>
      <c r="F209" s="1" t="s">
        <v>173</v>
      </c>
      <c r="G209" s="1" t="s">
        <v>244</v>
      </c>
      <c r="H209" s="1" t="s">
        <v>245</v>
      </c>
      <c r="I209" s="1" t="s">
        <v>246</v>
      </c>
      <c r="J209" s="1">
        <v>10</v>
      </c>
      <c r="K209" s="1" t="s">
        <v>247</v>
      </c>
      <c r="L209" s="1">
        <v>0</v>
      </c>
      <c r="M209" s="1" t="s">
        <v>248</v>
      </c>
      <c r="N209" s="1" t="s">
        <v>218</v>
      </c>
      <c r="O209" s="21">
        <v>2187</v>
      </c>
      <c r="P209" s="1" t="s">
        <v>249</v>
      </c>
    </row>
    <row r="210" spans="1:16" x14ac:dyDescent="0.2">
      <c r="A210" s="1" t="s">
        <v>170</v>
      </c>
      <c r="B210" s="1" t="s">
        <v>172</v>
      </c>
      <c r="C210" s="1">
        <v>2012</v>
      </c>
      <c r="D210" s="1">
        <v>2011</v>
      </c>
      <c r="E210" s="1">
        <v>2011</v>
      </c>
      <c r="F210" s="1" t="s">
        <v>173</v>
      </c>
      <c r="G210" s="1" t="s">
        <v>244</v>
      </c>
      <c r="H210" s="1" t="s">
        <v>250</v>
      </c>
      <c r="I210" s="1" t="s">
        <v>176</v>
      </c>
      <c r="J210" s="1" t="s">
        <v>176</v>
      </c>
      <c r="K210" s="1" t="s">
        <v>252</v>
      </c>
      <c r="L210" s="1" t="s">
        <v>176</v>
      </c>
      <c r="M210" s="1" t="s">
        <v>176</v>
      </c>
      <c r="N210" s="1" t="s">
        <v>176</v>
      </c>
      <c r="O210" s="21">
        <v>2.78</v>
      </c>
      <c r="P210" s="1" t="s">
        <v>254</v>
      </c>
    </row>
    <row r="211" spans="1:16" x14ac:dyDescent="0.2">
      <c r="A211" s="1" t="s">
        <v>170</v>
      </c>
      <c r="B211" s="1" t="s">
        <v>172</v>
      </c>
      <c r="C211" s="1">
        <v>2012</v>
      </c>
      <c r="D211" s="1">
        <v>2011</v>
      </c>
      <c r="E211" s="1">
        <v>2011</v>
      </c>
      <c r="F211" s="1" t="s">
        <v>173</v>
      </c>
      <c r="G211" s="1" t="s">
        <v>255</v>
      </c>
      <c r="H211" s="1" t="s">
        <v>245</v>
      </c>
      <c r="I211" s="1" t="s">
        <v>256</v>
      </c>
      <c r="J211" s="1" t="s">
        <v>229</v>
      </c>
      <c r="K211" s="1" t="s">
        <v>258</v>
      </c>
      <c r="L211" s="1" t="s">
        <v>176</v>
      </c>
      <c r="M211" s="1" t="s">
        <v>176</v>
      </c>
      <c r="N211" s="1" t="s">
        <v>176</v>
      </c>
      <c r="O211" s="21">
        <v>164</v>
      </c>
      <c r="P211" s="1" t="s">
        <v>259</v>
      </c>
    </row>
    <row r="212" spans="1:16" x14ac:dyDescent="0.2">
      <c r="A212" s="1" t="s">
        <v>170</v>
      </c>
      <c r="B212" s="1" t="s">
        <v>172</v>
      </c>
      <c r="C212" s="1">
        <v>2012</v>
      </c>
      <c r="D212" s="1">
        <v>2011</v>
      </c>
      <c r="E212" s="1">
        <v>2011</v>
      </c>
      <c r="F212" s="1" t="s">
        <v>173</v>
      </c>
      <c r="G212" s="1" t="s">
        <v>255</v>
      </c>
      <c r="H212" s="1" t="s">
        <v>245</v>
      </c>
      <c r="I212" s="1" t="s">
        <v>256</v>
      </c>
      <c r="J212" s="1" t="s">
        <v>257</v>
      </c>
      <c r="K212" s="1" t="s">
        <v>258</v>
      </c>
      <c r="L212" s="1" t="s">
        <v>176</v>
      </c>
      <c r="M212" s="1" t="s">
        <v>176</v>
      </c>
      <c r="N212" s="1" t="s">
        <v>176</v>
      </c>
      <c r="O212" s="21">
        <v>164</v>
      </c>
      <c r="P212" s="1" t="s">
        <v>259</v>
      </c>
    </row>
    <row r="213" spans="1:16" x14ac:dyDescent="0.2">
      <c r="A213" s="1" t="s">
        <v>170</v>
      </c>
      <c r="B213" s="1" t="s">
        <v>172</v>
      </c>
      <c r="C213" s="1">
        <v>2012</v>
      </c>
      <c r="D213" s="1">
        <v>2011</v>
      </c>
      <c r="E213" s="1">
        <v>2011</v>
      </c>
      <c r="F213" s="1" t="s">
        <v>173</v>
      </c>
      <c r="G213" s="1" t="s">
        <v>255</v>
      </c>
      <c r="H213" s="1" t="s">
        <v>260</v>
      </c>
      <c r="I213" s="1" t="s">
        <v>261</v>
      </c>
      <c r="J213" s="1">
        <v>0.625</v>
      </c>
      <c r="K213" s="1" t="s">
        <v>247</v>
      </c>
      <c r="L213" s="1" t="s">
        <v>176</v>
      </c>
      <c r="M213" s="1" t="s">
        <v>176</v>
      </c>
      <c r="N213" s="1" t="s">
        <v>176</v>
      </c>
      <c r="O213" s="21">
        <v>77.58</v>
      </c>
      <c r="P213" s="1" t="s">
        <v>262</v>
      </c>
    </row>
    <row r="214" spans="1:16" x14ac:dyDescent="0.2">
      <c r="A214" s="1" t="s">
        <v>170</v>
      </c>
      <c r="B214" s="1" t="s">
        <v>172</v>
      </c>
      <c r="C214" s="1">
        <v>2012</v>
      </c>
      <c r="D214" s="1">
        <v>2011</v>
      </c>
      <c r="E214" s="1">
        <v>2011</v>
      </c>
      <c r="F214" s="1" t="s">
        <v>173</v>
      </c>
      <c r="G214" s="1" t="s">
        <v>255</v>
      </c>
      <c r="H214" s="1" t="s">
        <v>260</v>
      </c>
      <c r="I214" s="1" t="s">
        <v>261</v>
      </c>
      <c r="J214" s="1">
        <v>0.75</v>
      </c>
      <c r="K214" s="1" t="s">
        <v>247</v>
      </c>
      <c r="L214" s="1" t="s">
        <v>176</v>
      </c>
      <c r="M214" s="1" t="s">
        <v>176</v>
      </c>
      <c r="N214" s="1" t="s">
        <v>176</v>
      </c>
      <c r="O214" s="21">
        <v>77.58</v>
      </c>
      <c r="P214" s="1" t="s">
        <v>262</v>
      </c>
    </row>
    <row r="215" spans="1:16" x14ac:dyDescent="0.2">
      <c r="A215" s="1" t="s">
        <v>170</v>
      </c>
      <c r="B215" s="1" t="s">
        <v>172</v>
      </c>
      <c r="C215" s="1">
        <v>2012</v>
      </c>
      <c r="D215" s="1">
        <v>2011</v>
      </c>
      <c r="E215" s="1">
        <v>2011</v>
      </c>
      <c r="F215" s="1" t="s">
        <v>173</v>
      </c>
      <c r="G215" s="1" t="s">
        <v>255</v>
      </c>
      <c r="H215" s="1" t="s">
        <v>260</v>
      </c>
      <c r="I215" s="1" t="s">
        <v>261</v>
      </c>
      <c r="J215" s="1">
        <v>1</v>
      </c>
      <c r="K215" s="1" t="s">
        <v>247</v>
      </c>
      <c r="L215" s="1" t="s">
        <v>176</v>
      </c>
      <c r="M215" s="1" t="s">
        <v>176</v>
      </c>
      <c r="N215" s="1" t="s">
        <v>176</v>
      </c>
      <c r="O215" s="21">
        <v>154.31</v>
      </c>
      <c r="P215" s="1" t="s">
        <v>262</v>
      </c>
    </row>
    <row r="216" spans="1:16" x14ac:dyDescent="0.2">
      <c r="A216" s="1" t="s">
        <v>170</v>
      </c>
      <c r="B216" s="1" t="s">
        <v>172</v>
      </c>
      <c r="C216" s="1">
        <v>2012</v>
      </c>
      <c r="D216" s="1">
        <v>2011</v>
      </c>
      <c r="E216" s="1">
        <v>2011</v>
      </c>
      <c r="F216" s="1" t="s">
        <v>173</v>
      </c>
      <c r="G216" s="1" t="s">
        <v>255</v>
      </c>
      <c r="H216" s="1" t="s">
        <v>260</v>
      </c>
      <c r="I216" s="1" t="s">
        <v>261</v>
      </c>
      <c r="J216" s="1">
        <v>1.5</v>
      </c>
      <c r="K216" s="1" t="s">
        <v>247</v>
      </c>
      <c r="L216" s="1" t="s">
        <v>176</v>
      </c>
      <c r="M216" s="1" t="s">
        <v>176</v>
      </c>
      <c r="N216" s="1" t="s">
        <v>176</v>
      </c>
      <c r="O216" s="21">
        <v>300</v>
      </c>
      <c r="P216" s="1" t="s">
        <v>262</v>
      </c>
    </row>
    <row r="217" spans="1:16" x14ac:dyDescent="0.2">
      <c r="A217" s="1" t="s">
        <v>170</v>
      </c>
      <c r="B217" s="1" t="s">
        <v>172</v>
      </c>
      <c r="C217" s="1">
        <v>2012</v>
      </c>
      <c r="D217" s="1">
        <v>2011</v>
      </c>
      <c r="E217" s="1">
        <v>2011</v>
      </c>
      <c r="F217" s="1" t="s">
        <v>173</v>
      </c>
      <c r="G217" s="1" t="s">
        <v>255</v>
      </c>
      <c r="H217" s="1" t="s">
        <v>260</v>
      </c>
      <c r="I217" s="1" t="s">
        <v>261</v>
      </c>
      <c r="J217" s="1">
        <v>2</v>
      </c>
      <c r="K217" s="1" t="s">
        <v>247</v>
      </c>
      <c r="L217" s="1" t="s">
        <v>176</v>
      </c>
      <c r="M217" s="1" t="s">
        <v>176</v>
      </c>
      <c r="N217" s="1" t="s">
        <v>176</v>
      </c>
      <c r="O217" s="21">
        <v>338.54</v>
      </c>
      <c r="P217" s="1" t="s">
        <v>262</v>
      </c>
    </row>
    <row r="218" spans="1:16" x14ac:dyDescent="0.2">
      <c r="A218" s="1" t="s">
        <v>170</v>
      </c>
      <c r="B218" s="1" t="s">
        <v>172</v>
      </c>
      <c r="C218" s="1">
        <v>2012</v>
      </c>
      <c r="D218" s="1">
        <v>2011</v>
      </c>
      <c r="E218" s="1">
        <v>2011</v>
      </c>
      <c r="F218" s="1" t="s">
        <v>173</v>
      </c>
      <c r="G218" s="1" t="s">
        <v>255</v>
      </c>
      <c r="H218" s="1" t="s">
        <v>260</v>
      </c>
      <c r="I218" s="1" t="s">
        <v>261</v>
      </c>
      <c r="J218" s="1">
        <v>3</v>
      </c>
      <c r="K218" s="1" t="s">
        <v>247</v>
      </c>
      <c r="L218" s="1" t="s">
        <v>176</v>
      </c>
      <c r="M218" s="1" t="s">
        <v>176</v>
      </c>
      <c r="N218" s="1" t="s">
        <v>176</v>
      </c>
      <c r="O218" s="21">
        <v>579.37</v>
      </c>
      <c r="P218" s="1" t="s">
        <v>262</v>
      </c>
    </row>
    <row r="219" spans="1:16" x14ac:dyDescent="0.2">
      <c r="A219" s="1" t="s">
        <v>170</v>
      </c>
      <c r="B219" s="1" t="s">
        <v>172</v>
      </c>
      <c r="C219" s="1">
        <v>2012</v>
      </c>
      <c r="D219" s="1">
        <v>2011</v>
      </c>
      <c r="E219" s="1">
        <v>2011</v>
      </c>
      <c r="F219" s="1" t="s">
        <v>173</v>
      </c>
      <c r="G219" s="1" t="s">
        <v>255</v>
      </c>
      <c r="H219" s="1" t="s">
        <v>260</v>
      </c>
      <c r="I219" s="1" t="s">
        <v>261</v>
      </c>
      <c r="J219" s="1">
        <v>4</v>
      </c>
      <c r="K219" s="1" t="s">
        <v>247</v>
      </c>
      <c r="L219" s="1" t="s">
        <v>176</v>
      </c>
      <c r="M219" s="1" t="s">
        <v>176</v>
      </c>
      <c r="N219" s="1" t="s">
        <v>176</v>
      </c>
      <c r="O219" s="21">
        <v>772.63</v>
      </c>
      <c r="P219" s="1" t="s">
        <v>262</v>
      </c>
    </row>
    <row r="220" spans="1:16" x14ac:dyDescent="0.2">
      <c r="A220" s="1" t="s">
        <v>170</v>
      </c>
      <c r="B220" s="1" t="s">
        <v>172</v>
      </c>
      <c r="C220" s="1">
        <v>2012</v>
      </c>
      <c r="D220" s="1">
        <v>2011</v>
      </c>
      <c r="E220" s="1">
        <v>2011</v>
      </c>
      <c r="F220" s="1" t="s">
        <v>173</v>
      </c>
      <c r="G220" s="1" t="s">
        <v>255</v>
      </c>
      <c r="H220" s="1" t="s">
        <v>260</v>
      </c>
      <c r="I220" s="1" t="s">
        <v>261</v>
      </c>
      <c r="J220" s="1">
        <v>6</v>
      </c>
      <c r="K220" s="1" t="s">
        <v>247</v>
      </c>
      <c r="L220" s="1" t="s">
        <v>176</v>
      </c>
      <c r="M220" s="1" t="s">
        <v>176</v>
      </c>
      <c r="N220" s="1" t="s">
        <v>176</v>
      </c>
      <c r="O220" s="21">
        <v>1182.3</v>
      </c>
      <c r="P220" s="1" t="s">
        <v>262</v>
      </c>
    </row>
    <row r="221" spans="1:16" x14ac:dyDescent="0.2">
      <c r="A221" s="1" t="s">
        <v>170</v>
      </c>
      <c r="B221" s="1" t="s">
        <v>172</v>
      </c>
      <c r="C221" s="1">
        <v>2012</v>
      </c>
      <c r="D221" s="1">
        <v>2011</v>
      </c>
      <c r="E221" s="1">
        <v>2011</v>
      </c>
      <c r="F221" s="1" t="s">
        <v>173</v>
      </c>
      <c r="G221" s="1" t="s">
        <v>255</v>
      </c>
      <c r="H221" s="1" t="s">
        <v>260</v>
      </c>
      <c r="I221" s="1" t="s">
        <v>261</v>
      </c>
      <c r="J221" s="1">
        <v>8</v>
      </c>
      <c r="K221" s="1" t="s">
        <v>247</v>
      </c>
      <c r="L221" s="1" t="s">
        <v>176</v>
      </c>
      <c r="M221" s="1" t="s">
        <v>176</v>
      </c>
      <c r="N221" s="1" t="s">
        <v>176</v>
      </c>
      <c r="O221" s="21">
        <v>1598.64</v>
      </c>
      <c r="P221" s="1" t="s">
        <v>262</v>
      </c>
    </row>
    <row r="222" spans="1:16" x14ac:dyDescent="0.2">
      <c r="A222" s="1" t="s">
        <v>170</v>
      </c>
      <c r="B222" s="1" t="s">
        <v>172</v>
      </c>
      <c r="C222" s="1">
        <v>2012</v>
      </c>
      <c r="D222" s="1">
        <v>2011</v>
      </c>
      <c r="E222" s="1">
        <v>2011</v>
      </c>
      <c r="F222" s="1" t="s">
        <v>173</v>
      </c>
      <c r="G222" s="1" t="s">
        <v>244</v>
      </c>
      <c r="H222" s="1" t="s">
        <v>505</v>
      </c>
      <c r="I222" s="1" t="s">
        <v>496</v>
      </c>
      <c r="J222" s="1" t="s">
        <v>176</v>
      </c>
      <c r="K222" s="1" t="s">
        <v>176</v>
      </c>
      <c r="L222" s="1" t="s">
        <v>176</v>
      </c>
      <c r="M222" s="1" t="s">
        <v>176</v>
      </c>
      <c r="N222" s="1" t="s">
        <v>176</v>
      </c>
      <c r="O222" s="21">
        <v>3.6</v>
      </c>
      <c r="P222" s="1" t="s">
        <v>495</v>
      </c>
    </row>
    <row r="223" spans="1:16" x14ac:dyDescent="0.2">
      <c r="A223" s="1" t="s">
        <v>170</v>
      </c>
      <c r="B223" s="1" t="s">
        <v>172</v>
      </c>
      <c r="C223" s="1">
        <v>2016</v>
      </c>
      <c r="D223" s="1">
        <v>2015</v>
      </c>
      <c r="E223" s="1">
        <v>2014</v>
      </c>
      <c r="F223" s="1" t="s">
        <v>281</v>
      </c>
      <c r="G223" s="1" t="s">
        <v>244</v>
      </c>
      <c r="H223" s="1" t="s">
        <v>245</v>
      </c>
      <c r="I223" s="1" t="s">
        <v>629</v>
      </c>
      <c r="J223" s="1" t="s">
        <v>215</v>
      </c>
      <c r="K223" s="1" t="s">
        <v>630</v>
      </c>
      <c r="L223" s="1" t="s">
        <v>176</v>
      </c>
      <c r="M223" s="1" t="s">
        <v>176</v>
      </c>
      <c r="N223" s="1" t="s">
        <v>176</v>
      </c>
      <c r="O223" s="21">
        <v>76.25</v>
      </c>
      <c r="P223" s="1" t="s">
        <v>631</v>
      </c>
    </row>
    <row r="224" spans="1:16" x14ac:dyDescent="0.2">
      <c r="A224" s="1" t="s">
        <v>170</v>
      </c>
      <c r="B224" s="1" t="s">
        <v>172</v>
      </c>
      <c r="C224" s="1">
        <v>2016</v>
      </c>
      <c r="D224" s="1">
        <v>2015</v>
      </c>
      <c r="E224" s="1">
        <v>2014</v>
      </c>
      <c r="F224" s="1" t="s">
        <v>281</v>
      </c>
      <c r="G224" s="1" t="s">
        <v>244</v>
      </c>
      <c r="H224" s="1" t="s">
        <v>245</v>
      </c>
      <c r="I224" s="1" t="s">
        <v>629</v>
      </c>
      <c r="J224" s="1" t="s">
        <v>632</v>
      </c>
      <c r="K224" s="1" t="s">
        <v>630</v>
      </c>
      <c r="L224" s="1" t="s">
        <v>176</v>
      </c>
      <c r="M224" s="1" t="s">
        <v>176</v>
      </c>
      <c r="N224" s="1" t="s">
        <v>176</v>
      </c>
      <c r="O224" s="21">
        <v>76.25</v>
      </c>
      <c r="P224" s="1" t="s">
        <v>631</v>
      </c>
    </row>
    <row r="225" spans="1:16" x14ac:dyDescent="0.2">
      <c r="A225" s="1" t="s">
        <v>170</v>
      </c>
      <c r="B225" s="1" t="s">
        <v>172</v>
      </c>
      <c r="C225" s="1">
        <v>2016</v>
      </c>
      <c r="D225" s="1">
        <v>2015</v>
      </c>
      <c r="E225" s="1">
        <v>2014</v>
      </c>
      <c r="F225" s="1" t="s">
        <v>281</v>
      </c>
      <c r="G225" s="1" t="s">
        <v>244</v>
      </c>
      <c r="H225" s="1" t="s">
        <v>245</v>
      </c>
      <c r="I225" s="1" t="s">
        <v>629</v>
      </c>
      <c r="J225" s="1" t="s">
        <v>633</v>
      </c>
      <c r="K225" s="1" t="s">
        <v>630</v>
      </c>
      <c r="L225" s="1" t="s">
        <v>176</v>
      </c>
      <c r="M225" s="1" t="s">
        <v>176</v>
      </c>
      <c r="N225" s="1" t="s">
        <v>176</v>
      </c>
      <c r="O225" s="21">
        <v>131.37</v>
      </c>
      <c r="P225" s="1" t="s">
        <v>635</v>
      </c>
    </row>
    <row r="226" spans="1:16" x14ac:dyDescent="0.2">
      <c r="A226" s="1" t="s">
        <v>170</v>
      </c>
      <c r="B226" s="1" t="s">
        <v>172</v>
      </c>
      <c r="C226" s="1">
        <v>2016</v>
      </c>
      <c r="D226" s="1">
        <v>2015</v>
      </c>
      <c r="E226" s="1">
        <v>2014</v>
      </c>
      <c r="F226" s="1" t="s">
        <v>281</v>
      </c>
      <c r="G226" s="1" t="s">
        <v>244</v>
      </c>
      <c r="H226" s="1" t="s">
        <v>245</v>
      </c>
      <c r="I226" s="1" t="s">
        <v>629</v>
      </c>
      <c r="J226" s="1" t="s">
        <v>634</v>
      </c>
      <c r="K226" s="1" t="s">
        <v>630</v>
      </c>
      <c r="L226" s="1" t="s">
        <v>176</v>
      </c>
      <c r="M226" s="1" t="s">
        <v>176</v>
      </c>
      <c r="N226" s="1" t="s">
        <v>176</v>
      </c>
      <c r="O226" s="21">
        <v>183.93</v>
      </c>
      <c r="P226" s="1" t="s">
        <v>635</v>
      </c>
    </row>
    <row r="227" spans="1:16" x14ac:dyDescent="0.2">
      <c r="A227" s="1" t="s">
        <v>170</v>
      </c>
      <c r="B227" s="1" t="s">
        <v>172</v>
      </c>
      <c r="C227" s="1">
        <v>2016</v>
      </c>
      <c r="D227" s="1">
        <v>2015</v>
      </c>
      <c r="E227" s="1">
        <v>2014</v>
      </c>
      <c r="F227" s="1" t="s">
        <v>281</v>
      </c>
      <c r="G227" s="1" t="s">
        <v>244</v>
      </c>
      <c r="H227" s="1" t="s">
        <v>245</v>
      </c>
      <c r="I227" s="1" t="s">
        <v>246</v>
      </c>
      <c r="J227" s="1">
        <v>0.625</v>
      </c>
      <c r="K227" s="1" t="s">
        <v>247</v>
      </c>
      <c r="L227" s="1" t="s">
        <v>176</v>
      </c>
      <c r="M227" s="1" t="s">
        <v>176</v>
      </c>
      <c r="N227" s="1" t="s">
        <v>176</v>
      </c>
      <c r="O227" s="21">
        <v>76.25</v>
      </c>
      <c r="P227" s="1" t="s">
        <v>631</v>
      </c>
    </row>
    <row r="228" spans="1:16" x14ac:dyDescent="0.2">
      <c r="A228" s="1" t="s">
        <v>170</v>
      </c>
      <c r="B228" s="1" t="s">
        <v>172</v>
      </c>
      <c r="C228" s="1">
        <v>2016</v>
      </c>
      <c r="D228" s="1">
        <v>2015</v>
      </c>
      <c r="E228" s="1">
        <v>2014</v>
      </c>
      <c r="F228" s="1" t="s">
        <v>281</v>
      </c>
      <c r="G228" s="1" t="s">
        <v>244</v>
      </c>
      <c r="H228" s="1" t="s">
        <v>245</v>
      </c>
      <c r="I228" s="1" t="s">
        <v>246</v>
      </c>
      <c r="J228" s="1">
        <v>0.75</v>
      </c>
      <c r="K228" s="1" t="s">
        <v>247</v>
      </c>
      <c r="L228" s="1" t="s">
        <v>176</v>
      </c>
      <c r="M228" s="1" t="s">
        <v>176</v>
      </c>
      <c r="N228" s="1" t="s">
        <v>176</v>
      </c>
      <c r="O228" s="21">
        <f>76.25*2</f>
        <v>152.5</v>
      </c>
      <c r="P228" s="1" t="s">
        <v>631</v>
      </c>
    </row>
    <row r="229" spans="1:16" x14ac:dyDescent="0.2">
      <c r="A229" s="1" t="s">
        <v>170</v>
      </c>
      <c r="B229" s="1" t="s">
        <v>172</v>
      </c>
      <c r="C229" s="1">
        <v>2016</v>
      </c>
      <c r="D229" s="1">
        <v>2015</v>
      </c>
      <c r="E229" s="1">
        <v>2014</v>
      </c>
      <c r="F229" s="1" t="s">
        <v>281</v>
      </c>
      <c r="G229" s="1" t="s">
        <v>244</v>
      </c>
      <c r="H229" s="1" t="s">
        <v>245</v>
      </c>
      <c r="I229" s="1" t="s">
        <v>246</v>
      </c>
      <c r="J229" s="1">
        <v>1</v>
      </c>
      <c r="K229" s="1" t="s">
        <v>247</v>
      </c>
      <c r="L229" s="1" t="s">
        <v>176</v>
      </c>
      <c r="M229" s="1" t="s">
        <v>176</v>
      </c>
      <c r="N229" s="1" t="s">
        <v>176</v>
      </c>
      <c r="O229" s="21">
        <f>76.25*3</f>
        <v>228.75</v>
      </c>
      <c r="P229" s="1" t="s">
        <v>631</v>
      </c>
    </row>
    <row r="230" spans="1:16" x14ac:dyDescent="0.2">
      <c r="A230" s="1" t="s">
        <v>170</v>
      </c>
      <c r="B230" s="1" t="s">
        <v>172</v>
      </c>
      <c r="C230" s="1">
        <v>2016</v>
      </c>
      <c r="D230" s="1">
        <v>2015</v>
      </c>
      <c r="E230" s="1">
        <v>2014</v>
      </c>
      <c r="F230" s="1" t="s">
        <v>281</v>
      </c>
      <c r="G230" s="1" t="s">
        <v>244</v>
      </c>
      <c r="H230" s="1" t="s">
        <v>245</v>
      </c>
      <c r="I230" s="1" t="s">
        <v>246</v>
      </c>
      <c r="J230" s="1">
        <v>1.5</v>
      </c>
      <c r="K230" s="1" t="s">
        <v>247</v>
      </c>
      <c r="L230" s="1" t="s">
        <v>176</v>
      </c>
      <c r="M230" s="1" t="s">
        <v>176</v>
      </c>
      <c r="N230" s="1" t="s">
        <v>176</v>
      </c>
      <c r="O230" s="21">
        <f>76.25*6</f>
        <v>457.5</v>
      </c>
      <c r="P230" s="1" t="s">
        <v>631</v>
      </c>
    </row>
    <row r="231" spans="1:16" x14ac:dyDescent="0.2">
      <c r="A231" s="1" t="s">
        <v>170</v>
      </c>
      <c r="B231" s="1" t="s">
        <v>172</v>
      </c>
      <c r="C231" s="1">
        <v>2016</v>
      </c>
      <c r="D231" s="1">
        <v>2015</v>
      </c>
      <c r="E231" s="1">
        <v>2014</v>
      </c>
      <c r="F231" s="1" t="s">
        <v>281</v>
      </c>
      <c r="G231" s="1" t="s">
        <v>244</v>
      </c>
      <c r="H231" s="1" t="s">
        <v>245</v>
      </c>
      <c r="I231" s="1" t="s">
        <v>246</v>
      </c>
      <c r="J231" s="1">
        <v>2</v>
      </c>
      <c r="K231" s="1" t="s">
        <v>247</v>
      </c>
      <c r="L231" s="1" t="s">
        <v>176</v>
      </c>
      <c r="M231" s="1" t="s">
        <v>176</v>
      </c>
      <c r="N231" s="1" t="s">
        <v>176</v>
      </c>
      <c r="O231" s="21">
        <f>76.25*11</f>
        <v>838.75</v>
      </c>
      <c r="P231" s="1" t="s">
        <v>631</v>
      </c>
    </row>
    <row r="232" spans="1:16" x14ac:dyDescent="0.2">
      <c r="A232" s="1" t="s">
        <v>170</v>
      </c>
      <c r="B232" s="1" t="s">
        <v>172</v>
      </c>
      <c r="C232" s="1">
        <v>2016</v>
      </c>
      <c r="D232" s="1">
        <v>2015</v>
      </c>
      <c r="E232" s="1">
        <v>2014</v>
      </c>
      <c r="F232" s="1" t="s">
        <v>281</v>
      </c>
      <c r="G232" s="1" t="s">
        <v>244</v>
      </c>
      <c r="H232" s="1" t="s">
        <v>245</v>
      </c>
      <c r="I232" s="1" t="s">
        <v>246</v>
      </c>
      <c r="J232" s="1">
        <v>3</v>
      </c>
      <c r="K232" s="1" t="s">
        <v>247</v>
      </c>
      <c r="L232" s="1" t="s">
        <v>176</v>
      </c>
      <c r="M232" s="1" t="s">
        <v>176</v>
      </c>
      <c r="N232" s="1" t="s">
        <v>176</v>
      </c>
      <c r="O232" s="21">
        <f>76.25*23</f>
        <v>1753.75</v>
      </c>
      <c r="P232" s="1" t="s">
        <v>631</v>
      </c>
    </row>
    <row r="233" spans="1:16" x14ac:dyDescent="0.2">
      <c r="A233" s="1" t="s">
        <v>170</v>
      </c>
      <c r="B233" s="1" t="s">
        <v>172</v>
      </c>
      <c r="C233" s="1">
        <v>2016</v>
      </c>
      <c r="D233" s="1">
        <v>2015</v>
      </c>
      <c r="E233" s="1">
        <v>2014</v>
      </c>
      <c r="F233" s="1" t="s">
        <v>281</v>
      </c>
      <c r="G233" s="1" t="s">
        <v>244</v>
      </c>
      <c r="H233" s="1" t="s">
        <v>245</v>
      </c>
      <c r="I233" s="1" t="s">
        <v>246</v>
      </c>
      <c r="J233" s="1">
        <v>4</v>
      </c>
      <c r="K233" s="1" t="s">
        <v>247</v>
      </c>
      <c r="L233" s="1" t="s">
        <v>176</v>
      </c>
      <c r="M233" s="1" t="s">
        <v>176</v>
      </c>
      <c r="N233" s="1" t="s">
        <v>176</v>
      </c>
      <c r="O233" s="21">
        <f>76.25*41</f>
        <v>3126.25</v>
      </c>
      <c r="P233" s="1" t="s">
        <v>631</v>
      </c>
    </row>
    <row r="234" spans="1:16" x14ac:dyDescent="0.2">
      <c r="A234" s="1" t="s">
        <v>170</v>
      </c>
      <c r="B234" s="1" t="s">
        <v>172</v>
      </c>
      <c r="C234" s="1">
        <v>2016</v>
      </c>
      <c r="D234" s="1">
        <v>2015</v>
      </c>
      <c r="E234" s="1">
        <v>2014</v>
      </c>
      <c r="F234" s="1" t="s">
        <v>281</v>
      </c>
      <c r="G234" s="1" t="s">
        <v>244</v>
      </c>
      <c r="H234" s="1" t="s">
        <v>245</v>
      </c>
      <c r="I234" s="1" t="s">
        <v>246</v>
      </c>
      <c r="J234" s="1">
        <v>6</v>
      </c>
      <c r="K234" s="1" t="s">
        <v>247</v>
      </c>
      <c r="L234" s="1" t="s">
        <v>176</v>
      </c>
      <c r="M234" s="1" t="s">
        <v>176</v>
      </c>
      <c r="N234" s="1" t="s">
        <v>176</v>
      </c>
      <c r="O234" s="21">
        <f>76.25*64</f>
        <v>4880</v>
      </c>
      <c r="P234" s="1" t="s">
        <v>631</v>
      </c>
    </row>
    <row r="235" spans="1:16" x14ac:dyDescent="0.2">
      <c r="A235" s="1" t="s">
        <v>170</v>
      </c>
      <c r="B235" s="1" t="s">
        <v>172</v>
      </c>
      <c r="C235" s="1">
        <v>2016</v>
      </c>
      <c r="D235" s="1">
        <v>2015</v>
      </c>
      <c r="E235" s="1">
        <v>2014</v>
      </c>
      <c r="F235" s="1" t="s">
        <v>281</v>
      </c>
      <c r="G235" s="1" t="s">
        <v>244</v>
      </c>
      <c r="H235" s="1" t="s">
        <v>245</v>
      </c>
      <c r="I235" s="1" t="s">
        <v>246</v>
      </c>
      <c r="J235" s="1">
        <v>8</v>
      </c>
      <c r="K235" s="1" t="s">
        <v>247</v>
      </c>
      <c r="L235" s="1" t="s">
        <v>176</v>
      </c>
      <c r="M235" s="1" t="s">
        <v>176</v>
      </c>
      <c r="N235" s="1" t="s">
        <v>176</v>
      </c>
      <c r="O235" s="21">
        <f>76.25*94</f>
        <v>7167.5</v>
      </c>
      <c r="P235" s="1" t="s">
        <v>631</v>
      </c>
    </row>
    <row r="236" spans="1:16" x14ac:dyDescent="0.2">
      <c r="A236" s="1" t="s">
        <v>170</v>
      </c>
      <c r="B236" s="1" t="s">
        <v>172</v>
      </c>
      <c r="C236" s="1">
        <v>2016</v>
      </c>
      <c r="D236" s="1">
        <v>2015</v>
      </c>
      <c r="E236" s="1">
        <v>2014</v>
      </c>
      <c r="F236" s="1" t="s">
        <v>281</v>
      </c>
      <c r="G236" s="1" t="s">
        <v>244</v>
      </c>
      <c r="H236" s="1" t="s">
        <v>250</v>
      </c>
      <c r="I236" s="1" t="s">
        <v>176</v>
      </c>
      <c r="J236" s="1" t="s">
        <v>176</v>
      </c>
      <c r="K236" s="1" t="s">
        <v>252</v>
      </c>
      <c r="L236" s="1" t="s">
        <v>176</v>
      </c>
      <c r="M236" s="1" t="s">
        <v>176</v>
      </c>
      <c r="N236" s="1" t="s">
        <v>176</v>
      </c>
      <c r="O236" s="21">
        <v>2.63</v>
      </c>
      <c r="P236" s="1" t="s">
        <v>254</v>
      </c>
    </row>
    <row r="237" spans="1:16" x14ac:dyDescent="0.2">
      <c r="A237" s="1" t="s">
        <v>170</v>
      </c>
      <c r="B237" s="1" t="s">
        <v>172</v>
      </c>
      <c r="C237" s="1" t="s">
        <v>176</v>
      </c>
      <c r="D237" s="1">
        <v>2012</v>
      </c>
      <c r="E237" s="1">
        <v>2012</v>
      </c>
      <c r="F237" s="1" t="s">
        <v>281</v>
      </c>
      <c r="G237" s="1" t="s">
        <v>244</v>
      </c>
      <c r="H237" s="1" t="s">
        <v>245</v>
      </c>
      <c r="I237" s="1" t="s">
        <v>629</v>
      </c>
      <c r="J237" s="1" t="s">
        <v>215</v>
      </c>
      <c r="K237" s="1" t="s">
        <v>630</v>
      </c>
      <c r="L237" s="1" t="s">
        <v>176</v>
      </c>
      <c r="M237" s="1" t="s">
        <v>176</v>
      </c>
      <c r="N237" s="1" t="s">
        <v>176</v>
      </c>
      <c r="O237" s="21">
        <v>71.25</v>
      </c>
      <c r="P237" s="1" t="s">
        <v>631</v>
      </c>
    </row>
    <row r="238" spans="1:16" x14ac:dyDescent="0.2">
      <c r="A238" s="1" t="s">
        <v>170</v>
      </c>
      <c r="B238" s="1" t="s">
        <v>172</v>
      </c>
      <c r="C238" s="1" t="s">
        <v>176</v>
      </c>
      <c r="D238" s="1">
        <v>2012</v>
      </c>
      <c r="E238" s="1">
        <v>2012</v>
      </c>
      <c r="F238" s="1" t="s">
        <v>281</v>
      </c>
      <c r="G238" s="1" t="s">
        <v>244</v>
      </c>
      <c r="H238" s="1" t="s">
        <v>245</v>
      </c>
      <c r="I238" s="1" t="s">
        <v>629</v>
      </c>
      <c r="J238" s="1" t="s">
        <v>632</v>
      </c>
      <c r="K238" s="1" t="s">
        <v>630</v>
      </c>
      <c r="L238" s="1" t="s">
        <v>176</v>
      </c>
      <c r="M238" s="1" t="s">
        <v>176</v>
      </c>
      <c r="N238" s="1" t="s">
        <v>176</v>
      </c>
      <c r="O238" s="21">
        <v>71.25</v>
      </c>
      <c r="P238" s="1" t="s">
        <v>631</v>
      </c>
    </row>
    <row r="239" spans="1:16" x14ac:dyDescent="0.2">
      <c r="A239" s="1" t="s">
        <v>170</v>
      </c>
      <c r="B239" s="1" t="s">
        <v>172</v>
      </c>
      <c r="C239" s="1" t="s">
        <v>176</v>
      </c>
      <c r="D239" s="1">
        <v>2012</v>
      </c>
      <c r="E239" s="1">
        <v>2012</v>
      </c>
      <c r="F239" s="1" t="s">
        <v>281</v>
      </c>
      <c r="G239" s="1" t="s">
        <v>244</v>
      </c>
      <c r="H239" s="1" t="s">
        <v>245</v>
      </c>
      <c r="I239" s="1" t="s">
        <v>629</v>
      </c>
      <c r="J239" s="1" t="s">
        <v>633</v>
      </c>
      <c r="K239" s="1" t="s">
        <v>630</v>
      </c>
      <c r="L239" s="1" t="s">
        <v>176</v>
      </c>
      <c r="M239" s="1" t="s">
        <v>176</v>
      </c>
      <c r="N239" s="1" t="s">
        <v>176</v>
      </c>
      <c r="O239" s="21">
        <v>112.63</v>
      </c>
      <c r="P239" s="1" t="s">
        <v>635</v>
      </c>
    </row>
    <row r="240" spans="1:16" x14ac:dyDescent="0.2">
      <c r="A240" s="1" t="s">
        <v>170</v>
      </c>
      <c r="B240" s="1" t="s">
        <v>172</v>
      </c>
      <c r="C240" s="1" t="s">
        <v>176</v>
      </c>
      <c r="D240" s="1">
        <v>2012</v>
      </c>
      <c r="E240" s="1">
        <v>2012</v>
      </c>
      <c r="F240" s="1" t="s">
        <v>281</v>
      </c>
      <c r="G240" s="1" t="s">
        <v>244</v>
      </c>
      <c r="H240" s="1" t="s">
        <v>245</v>
      </c>
      <c r="I240" s="1" t="s">
        <v>629</v>
      </c>
      <c r="J240" s="1" t="s">
        <v>634</v>
      </c>
      <c r="K240" s="1" t="s">
        <v>630</v>
      </c>
      <c r="L240" s="1" t="s">
        <v>176</v>
      </c>
      <c r="M240" s="1" t="s">
        <v>176</v>
      </c>
      <c r="N240" s="1" t="s">
        <v>176</v>
      </c>
      <c r="O240" s="21">
        <v>157.66999999999999</v>
      </c>
      <c r="P240" s="1" t="s">
        <v>635</v>
      </c>
    </row>
    <row r="241" spans="1:16" x14ac:dyDescent="0.2">
      <c r="A241" s="1" t="s">
        <v>170</v>
      </c>
      <c r="B241" s="1" t="s">
        <v>172</v>
      </c>
      <c r="C241" s="1" t="s">
        <v>176</v>
      </c>
      <c r="D241" s="1">
        <v>2012</v>
      </c>
      <c r="E241" s="1">
        <v>2012</v>
      </c>
      <c r="F241" s="1" t="s">
        <v>281</v>
      </c>
      <c r="G241" s="1" t="s">
        <v>244</v>
      </c>
      <c r="H241" s="1" t="s">
        <v>245</v>
      </c>
      <c r="I241" s="1" t="s">
        <v>246</v>
      </c>
      <c r="J241" s="1">
        <v>0.625</v>
      </c>
      <c r="K241" s="1" t="s">
        <v>247</v>
      </c>
      <c r="L241" s="1" t="s">
        <v>176</v>
      </c>
      <c r="M241" s="1" t="s">
        <v>176</v>
      </c>
      <c r="N241" s="1" t="s">
        <v>176</v>
      </c>
      <c r="O241" s="21">
        <v>71.25</v>
      </c>
      <c r="P241" s="1" t="s">
        <v>631</v>
      </c>
    </row>
    <row r="242" spans="1:16" x14ac:dyDescent="0.2">
      <c r="A242" s="1" t="s">
        <v>170</v>
      </c>
      <c r="B242" s="1" t="s">
        <v>172</v>
      </c>
      <c r="C242" s="1" t="s">
        <v>176</v>
      </c>
      <c r="D242" s="1">
        <v>2012</v>
      </c>
      <c r="E242" s="1">
        <v>2012</v>
      </c>
      <c r="F242" s="1" t="s">
        <v>281</v>
      </c>
      <c r="G242" s="1" t="s">
        <v>244</v>
      </c>
      <c r="H242" s="1" t="s">
        <v>245</v>
      </c>
      <c r="I242" s="1" t="s">
        <v>246</v>
      </c>
      <c r="J242" s="1">
        <v>0.75</v>
      </c>
      <c r="K242" s="1" t="s">
        <v>247</v>
      </c>
      <c r="L242" s="1" t="s">
        <v>176</v>
      </c>
      <c r="M242" s="1" t="s">
        <v>176</v>
      </c>
      <c r="N242" s="1" t="s">
        <v>176</v>
      </c>
      <c r="O242" s="21">
        <f>716.25*2</f>
        <v>1432.5</v>
      </c>
      <c r="P242" s="1" t="s">
        <v>631</v>
      </c>
    </row>
    <row r="243" spans="1:16" x14ac:dyDescent="0.2">
      <c r="A243" s="1" t="s">
        <v>170</v>
      </c>
      <c r="B243" s="1" t="s">
        <v>172</v>
      </c>
      <c r="C243" s="1" t="s">
        <v>176</v>
      </c>
      <c r="D243" s="1">
        <v>2012</v>
      </c>
      <c r="E243" s="1">
        <v>2012</v>
      </c>
      <c r="F243" s="1" t="s">
        <v>281</v>
      </c>
      <c r="G243" s="1" t="s">
        <v>244</v>
      </c>
      <c r="H243" s="1" t="s">
        <v>245</v>
      </c>
      <c r="I243" s="1" t="s">
        <v>246</v>
      </c>
      <c r="J243" s="1">
        <v>1</v>
      </c>
      <c r="K243" s="1" t="s">
        <v>247</v>
      </c>
      <c r="L243" s="1" t="s">
        <v>176</v>
      </c>
      <c r="M243" s="1" t="s">
        <v>176</v>
      </c>
      <c r="N243" s="1" t="s">
        <v>176</v>
      </c>
      <c r="O243" s="21">
        <f>71.25*3</f>
        <v>213.75</v>
      </c>
      <c r="P243" s="1" t="s">
        <v>631</v>
      </c>
    </row>
    <row r="244" spans="1:16" x14ac:dyDescent="0.2">
      <c r="A244" s="1" t="s">
        <v>170</v>
      </c>
      <c r="B244" s="1" t="s">
        <v>172</v>
      </c>
      <c r="C244" s="1" t="s">
        <v>176</v>
      </c>
      <c r="D244" s="1">
        <v>2012</v>
      </c>
      <c r="E244" s="1">
        <v>2012</v>
      </c>
      <c r="F244" s="1" t="s">
        <v>281</v>
      </c>
      <c r="G244" s="1" t="s">
        <v>244</v>
      </c>
      <c r="H244" s="1" t="s">
        <v>245</v>
      </c>
      <c r="I244" s="1" t="s">
        <v>246</v>
      </c>
      <c r="J244" s="1">
        <v>1.5</v>
      </c>
      <c r="K244" s="1" t="s">
        <v>247</v>
      </c>
      <c r="L244" s="1" t="s">
        <v>176</v>
      </c>
      <c r="M244" s="1" t="s">
        <v>176</v>
      </c>
      <c r="N244" s="1" t="s">
        <v>176</v>
      </c>
      <c r="O244" s="21">
        <f>71.25*6</f>
        <v>427.5</v>
      </c>
      <c r="P244" s="1" t="s">
        <v>631</v>
      </c>
    </row>
    <row r="245" spans="1:16" x14ac:dyDescent="0.2">
      <c r="A245" s="1" t="s">
        <v>170</v>
      </c>
      <c r="B245" s="1" t="s">
        <v>172</v>
      </c>
      <c r="C245" s="1" t="s">
        <v>176</v>
      </c>
      <c r="D245" s="1">
        <v>2012</v>
      </c>
      <c r="E245" s="1">
        <v>2012</v>
      </c>
      <c r="F245" s="1" t="s">
        <v>281</v>
      </c>
      <c r="G245" s="1" t="s">
        <v>244</v>
      </c>
      <c r="H245" s="1" t="s">
        <v>245</v>
      </c>
      <c r="I245" s="1" t="s">
        <v>246</v>
      </c>
      <c r="J245" s="1">
        <v>2</v>
      </c>
      <c r="K245" s="1" t="s">
        <v>247</v>
      </c>
      <c r="L245" s="1" t="s">
        <v>176</v>
      </c>
      <c r="M245" s="1" t="s">
        <v>176</v>
      </c>
      <c r="N245" s="1" t="s">
        <v>176</v>
      </c>
      <c r="O245" s="21">
        <f>71.25*11</f>
        <v>783.75</v>
      </c>
      <c r="P245" s="1" t="s">
        <v>631</v>
      </c>
    </row>
    <row r="246" spans="1:16" x14ac:dyDescent="0.2">
      <c r="A246" s="1" t="s">
        <v>170</v>
      </c>
      <c r="B246" s="1" t="s">
        <v>172</v>
      </c>
      <c r="C246" s="1" t="s">
        <v>176</v>
      </c>
      <c r="D246" s="1">
        <v>2012</v>
      </c>
      <c r="E246" s="1">
        <v>2012</v>
      </c>
      <c r="F246" s="1" t="s">
        <v>281</v>
      </c>
      <c r="G246" s="1" t="s">
        <v>244</v>
      </c>
      <c r="H246" s="1" t="s">
        <v>245</v>
      </c>
      <c r="I246" s="1" t="s">
        <v>246</v>
      </c>
      <c r="J246" s="1">
        <v>3</v>
      </c>
      <c r="K246" s="1" t="s">
        <v>247</v>
      </c>
      <c r="L246" s="1" t="s">
        <v>176</v>
      </c>
      <c r="M246" s="1" t="s">
        <v>176</v>
      </c>
      <c r="N246" s="1" t="s">
        <v>176</v>
      </c>
      <c r="O246" s="21">
        <f>71.25*23</f>
        <v>1638.75</v>
      </c>
      <c r="P246" s="1" t="s">
        <v>631</v>
      </c>
    </row>
    <row r="247" spans="1:16" x14ac:dyDescent="0.2">
      <c r="A247" s="1" t="s">
        <v>170</v>
      </c>
      <c r="B247" s="1" t="s">
        <v>172</v>
      </c>
      <c r="C247" s="1" t="s">
        <v>176</v>
      </c>
      <c r="D247" s="1">
        <v>2012</v>
      </c>
      <c r="E247" s="1">
        <v>2012</v>
      </c>
      <c r="F247" s="1" t="s">
        <v>281</v>
      </c>
      <c r="G247" s="1" t="s">
        <v>244</v>
      </c>
      <c r="H247" s="1" t="s">
        <v>245</v>
      </c>
      <c r="I247" s="1" t="s">
        <v>246</v>
      </c>
      <c r="J247" s="1">
        <v>4</v>
      </c>
      <c r="K247" s="1" t="s">
        <v>247</v>
      </c>
      <c r="L247" s="1" t="s">
        <v>176</v>
      </c>
      <c r="M247" s="1" t="s">
        <v>176</v>
      </c>
      <c r="N247" s="1" t="s">
        <v>176</v>
      </c>
      <c r="O247" s="21">
        <f>71.25*41</f>
        <v>2921.25</v>
      </c>
      <c r="P247" s="1" t="s">
        <v>631</v>
      </c>
    </row>
    <row r="248" spans="1:16" x14ac:dyDescent="0.2">
      <c r="A248" s="1" t="s">
        <v>170</v>
      </c>
      <c r="B248" s="1" t="s">
        <v>172</v>
      </c>
      <c r="C248" s="1" t="s">
        <v>176</v>
      </c>
      <c r="D248" s="1">
        <v>2012</v>
      </c>
      <c r="E248" s="1">
        <v>2012</v>
      </c>
      <c r="F248" s="1" t="s">
        <v>281</v>
      </c>
      <c r="G248" s="1" t="s">
        <v>244</v>
      </c>
      <c r="H248" s="1" t="s">
        <v>245</v>
      </c>
      <c r="I248" s="1" t="s">
        <v>246</v>
      </c>
      <c r="J248" s="1">
        <v>6</v>
      </c>
      <c r="K248" s="1" t="s">
        <v>247</v>
      </c>
      <c r="L248" s="1" t="s">
        <v>176</v>
      </c>
      <c r="M248" s="1" t="s">
        <v>176</v>
      </c>
      <c r="N248" s="1" t="s">
        <v>176</v>
      </c>
      <c r="O248" s="21">
        <f>71.25*64</f>
        <v>4560</v>
      </c>
      <c r="P248" s="1" t="s">
        <v>631</v>
      </c>
    </row>
    <row r="249" spans="1:16" x14ac:dyDescent="0.2">
      <c r="A249" s="1" t="s">
        <v>170</v>
      </c>
      <c r="B249" s="1" t="s">
        <v>172</v>
      </c>
      <c r="C249" s="1" t="s">
        <v>176</v>
      </c>
      <c r="D249" s="1">
        <v>2012</v>
      </c>
      <c r="E249" s="1">
        <v>2012</v>
      </c>
      <c r="F249" s="1" t="s">
        <v>281</v>
      </c>
      <c r="G249" s="1" t="s">
        <v>244</v>
      </c>
      <c r="H249" s="1" t="s">
        <v>245</v>
      </c>
      <c r="I249" s="1" t="s">
        <v>246</v>
      </c>
      <c r="J249" s="1">
        <v>8</v>
      </c>
      <c r="K249" s="1" t="s">
        <v>247</v>
      </c>
      <c r="L249" s="1" t="s">
        <v>176</v>
      </c>
      <c r="M249" s="1" t="s">
        <v>176</v>
      </c>
      <c r="N249" s="1" t="s">
        <v>176</v>
      </c>
      <c r="O249" s="21">
        <f>71.25*94</f>
        <v>6697.5</v>
      </c>
      <c r="P249" s="1" t="s">
        <v>631</v>
      </c>
    </row>
    <row r="250" spans="1:16" x14ac:dyDescent="0.2">
      <c r="A250" s="1" t="s">
        <v>170</v>
      </c>
      <c r="B250" s="1" t="s">
        <v>172</v>
      </c>
      <c r="C250" s="1" t="s">
        <v>176</v>
      </c>
      <c r="D250" s="1">
        <v>2012</v>
      </c>
      <c r="E250" s="1">
        <v>2012</v>
      </c>
      <c r="F250" s="1" t="s">
        <v>281</v>
      </c>
      <c r="G250" s="1" t="s">
        <v>244</v>
      </c>
      <c r="H250" s="1" t="s">
        <v>250</v>
      </c>
      <c r="I250" s="1" t="s">
        <v>176</v>
      </c>
      <c r="J250" s="1" t="s">
        <v>176</v>
      </c>
      <c r="K250" s="1" t="s">
        <v>252</v>
      </c>
      <c r="L250" s="1" t="s">
        <v>176</v>
      </c>
      <c r="M250" s="1" t="s">
        <v>176</v>
      </c>
      <c r="N250" s="1" t="s">
        <v>176</v>
      </c>
      <c r="O250" s="21">
        <v>2.3699999999999999E-2</v>
      </c>
      <c r="P250" s="1" t="s">
        <v>700</v>
      </c>
    </row>
    <row r="251" spans="1:16" x14ac:dyDescent="0.2">
      <c r="A251" s="1" t="s">
        <v>170</v>
      </c>
      <c r="B251" s="1" t="s">
        <v>172</v>
      </c>
      <c r="C251" s="1" t="s">
        <v>176</v>
      </c>
      <c r="D251" s="1">
        <v>2016</v>
      </c>
      <c r="E251" s="1">
        <v>2014</v>
      </c>
      <c r="F251" s="1" t="s">
        <v>281</v>
      </c>
      <c r="G251" s="1" t="s">
        <v>244</v>
      </c>
      <c r="H251" s="1" t="s">
        <v>245</v>
      </c>
      <c r="I251" s="1" t="s">
        <v>629</v>
      </c>
      <c r="J251" s="1" t="s">
        <v>215</v>
      </c>
      <c r="K251" s="1" t="s">
        <v>630</v>
      </c>
      <c r="L251" s="1" t="s">
        <v>176</v>
      </c>
      <c r="M251" s="1" t="s">
        <v>176</v>
      </c>
      <c r="N251" s="1" t="s">
        <v>176</v>
      </c>
      <c r="O251" s="21">
        <v>76.25</v>
      </c>
      <c r="P251" s="1" t="s">
        <v>631</v>
      </c>
    </row>
    <row r="252" spans="1:16" x14ac:dyDescent="0.2">
      <c r="A252" s="1" t="s">
        <v>170</v>
      </c>
      <c r="B252" s="1" t="s">
        <v>172</v>
      </c>
      <c r="C252" s="1" t="s">
        <v>176</v>
      </c>
      <c r="D252" s="1">
        <v>2016</v>
      </c>
      <c r="E252" s="1">
        <v>2014</v>
      </c>
      <c r="F252" s="1" t="s">
        <v>281</v>
      </c>
      <c r="G252" s="1" t="s">
        <v>244</v>
      </c>
      <c r="H252" s="1" t="s">
        <v>245</v>
      </c>
      <c r="I252" s="1" t="s">
        <v>629</v>
      </c>
      <c r="J252" s="1" t="s">
        <v>632</v>
      </c>
      <c r="K252" s="1" t="s">
        <v>630</v>
      </c>
      <c r="L252" s="1" t="s">
        <v>176</v>
      </c>
      <c r="M252" s="1" t="s">
        <v>176</v>
      </c>
      <c r="N252" s="1" t="s">
        <v>176</v>
      </c>
      <c r="O252" s="21">
        <v>76.25</v>
      </c>
      <c r="P252" s="1" t="s">
        <v>631</v>
      </c>
    </row>
    <row r="253" spans="1:16" x14ac:dyDescent="0.2">
      <c r="A253" s="1" t="s">
        <v>170</v>
      </c>
      <c r="B253" s="1" t="s">
        <v>172</v>
      </c>
      <c r="C253" s="1" t="s">
        <v>176</v>
      </c>
      <c r="D253" s="1">
        <v>2016</v>
      </c>
      <c r="E253" s="1">
        <v>2014</v>
      </c>
      <c r="F253" s="1" t="s">
        <v>281</v>
      </c>
      <c r="G253" s="1" t="s">
        <v>244</v>
      </c>
      <c r="H253" s="1" t="s">
        <v>245</v>
      </c>
      <c r="I253" s="1" t="s">
        <v>629</v>
      </c>
      <c r="J253" s="1" t="s">
        <v>633</v>
      </c>
      <c r="K253" s="1" t="s">
        <v>630</v>
      </c>
      <c r="L253" s="1" t="s">
        <v>176</v>
      </c>
      <c r="M253" s="1" t="s">
        <v>176</v>
      </c>
      <c r="N253" s="1" t="s">
        <v>176</v>
      </c>
      <c r="O253" s="21">
        <v>131.37</v>
      </c>
      <c r="P253" s="1" t="s">
        <v>635</v>
      </c>
    </row>
    <row r="254" spans="1:16" x14ac:dyDescent="0.2">
      <c r="A254" s="1" t="s">
        <v>170</v>
      </c>
      <c r="B254" s="1" t="s">
        <v>172</v>
      </c>
      <c r="C254" s="1" t="s">
        <v>176</v>
      </c>
      <c r="D254" s="1">
        <v>2016</v>
      </c>
      <c r="E254" s="1">
        <v>2014</v>
      </c>
      <c r="F254" s="1" t="s">
        <v>281</v>
      </c>
      <c r="G254" s="1" t="s">
        <v>244</v>
      </c>
      <c r="H254" s="1" t="s">
        <v>245</v>
      </c>
      <c r="I254" s="1" t="s">
        <v>629</v>
      </c>
      <c r="J254" s="1" t="s">
        <v>634</v>
      </c>
      <c r="K254" s="1" t="s">
        <v>630</v>
      </c>
      <c r="L254" s="1" t="s">
        <v>176</v>
      </c>
      <c r="M254" s="1" t="s">
        <v>176</v>
      </c>
      <c r="N254" s="1" t="s">
        <v>176</v>
      </c>
      <c r="O254" s="21">
        <v>183.93</v>
      </c>
      <c r="P254" s="1" t="s">
        <v>635</v>
      </c>
    </row>
    <row r="255" spans="1:16" x14ac:dyDescent="0.2">
      <c r="A255" s="1" t="s">
        <v>170</v>
      </c>
      <c r="B255" s="1" t="s">
        <v>172</v>
      </c>
      <c r="C255" s="1" t="s">
        <v>176</v>
      </c>
      <c r="D255" s="1">
        <v>2016</v>
      </c>
      <c r="E255" s="1">
        <v>2014</v>
      </c>
      <c r="F255" s="1" t="s">
        <v>281</v>
      </c>
      <c r="G255" s="1" t="s">
        <v>244</v>
      </c>
      <c r="H255" s="1" t="s">
        <v>245</v>
      </c>
      <c r="I255" s="1" t="s">
        <v>246</v>
      </c>
      <c r="J255" s="1">
        <v>0.625</v>
      </c>
      <c r="K255" s="1" t="s">
        <v>247</v>
      </c>
      <c r="L255" s="1" t="s">
        <v>176</v>
      </c>
      <c r="M255" s="1" t="s">
        <v>176</v>
      </c>
      <c r="N255" s="1" t="s">
        <v>176</v>
      </c>
      <c r="O255" s="21">
        <v>76.25</v>
      </c>
      <c r="P255" s="1" t="s">
        <v>631</v>
      </c>
    </row>
    <row r="256" spans="1:16" x14ac:dyDescent="0.2">
      <c r="A256" s="1" t="s">
        <v>170</v>
      </c>
      <c r="B256" s="1" t="s">
        <v>172</v>
      </c>
      <c r="C256" s="1" t="s">
        <v>176</v>
      </c>
      <c r="D256" s="1">
        <v>2016</v>
      </c>
      <c r="E256" s="1">
        <v>2014</v>
      </c>
      <c r="F256" s="1" t="s">
        <v>281</v>
      </c>
      <c r="G256" s="1" t="s">
        <v>244</v>
      </c>
      <c r="H256" s="1" t="s">
        <v>245</v>
      </c>
      <c r="I256" s="1" t="s">
        <v>246</v>
      </c>
      <c r="J256" s="1">
        <v>0.75</v>
      </c>
      <c r="K256" s="1" t="s">
        <v>247</v>
      </c>
      <c r="L256" s="1" t="s">
        <v>176</v>
      </c>
      <c r="M256" s="1" t="s">
        <v>176</v>
      </c>
      <c r="N256" s="1" t="s">
        <v>176</v>
      </c>
      <c r="O256" s="21">
        <f>76.25*2</f>
        <v>152.5</v>
      </c>
      <c r="P256" s="1" t="s">
        <v>631</v>
      </c>
    </row>
    <row r="257" spans="1:16" x14ac:dyDescent="0.2">
      <c r="A257" s="1" t="s">
        <v>170</v>
      </c>
      <c r="B257" s="1" t="s">
        <v>172</v>
      </c>
      <c r="C257" s="1" t="s">
        <v>176</v>
      </c>
      <c r="D257" s="1">
        <v>2016</v>
      </c>
      <c r="E257" s="1">
        <v>2014</v>
      </c>
      <c r="F257" s="1" t="s">
        <v>281</v>
      </c>
      <c r="G257" s="1" t="s">
        <v>244</v>
      </c>
      <c r="H257" s="1" t="s">
        <v>245</v>
      </c>
      <c r="I257" s="1" t="s">
        <v>246</v>
      </c>
      <c r="J257" s="1">
        <v>1</v>
      </c>
      <c r="K257" s="1" t="s">
        <v>247</v>
      </c>
      <c r="L257" s="1" t="s">
        <v>176</v>
      </c>
      <c r="M257" s="1" t="s">
        <v>176</v>
      </c>
      <c r="N257" s="1" t="s">
        <v>176</v>
      </c>
      <c r="O257" s="21">
        <f>76.25*3</f>
        <v>228.75</v>
      </c>
      <c r="P257" s="1" t="s">
        <v>631</v>
      </c>
    </row>
    <row r="258" spans="1:16" x14ac:dyDescent="0.2">
      <c r="A258" s="1" t="s">
        <v>170</v>
      </c>
      <c r="B258" s="1" t="s">
        <v>172</v>
      </c>
      <c r="C258" s="1" t="s">
        <v>176</v>
      </c>
      <c r="D258" s="1">
        <v>2016</v>
      </c>
      <c r="E258" s="1">
        <v>2014</v>
      </c>
      <c r="F258" s="1" t="s">
        <v>281</v>
      </c>
      <c r="G258" s="1" t="s">
        <v>244</v>
      </c>
      <c r="H258" s="1" t="s">
        <v>245</v>
      </c>
      <c r="I258" s="1" t="s">
        <v>246</v>
      </c>
      <c r="J258" s="1">
        <v>1.5</v>
      </c>
      <c r="K258" s="1" t="s">
        <v>247</v>
      </c>
      <c r="L258" s="1" t="s">
        <v>176</v>
      </c>
      <c r="M258" s="1" t="s">
        <v>176</v>
      </c>
      <c r="N258" s="1" t="s">
        <v>176</v>
      </c>
      <c r="O258" s="21">
        <f>76.25*6</f>
        <v>457.5</v>
      </c>
      <c r="P258" s="1" t="s">
        <v>631</v>
      </c>
    </row>
    <row r="259" spans="1:16" x14ac:dyDescent="0.2">
      <c r="A259" s="1" t="s">
        <v>170</v>
      </c>
      <c r="B259" s="1" t="s">
        <v>172</v>
      </c>
      <c r="C259" s="1" t="s">
        <v>176</v>
      </c>
      <c r="D259" s="1">
        <v>2016</v>
      </c>
      <c r="E259" s="1">
        <v>2014</v>
      </c>
      <c r="F259" s="1" t="s">
        <v>281</v>
      </c>
      <c r="G259" s="1" t="s">
        <v>244</v>
      </c>
      <c r="H259" s="1" t="s">
        <v>245</v>
      </c>
      <c r="I259" s="1" t="s">
        <v>246</v>
      </c>
      <c r="J259" s="1">
        <v>2</v>
      </c>
      <c r="K259" s="1" t="s">
        <v>247</v>
      </c>
      <c r="L259" s="1" t="s">
        <v>176</v>
      </c>
      <c r="M259" s="1" t="s">
        <v>176</v>
      </c>
      <c r="N259" s="1" t="s">
        <v>176</v>
      </c>
      <c r="O259" s="21">
        <f>76.25*11</f>
        <v>838.75</v>
      </c>
      <c r="P259" s="1" t="s">
        <v>631</v>
      </c>
    </row>
    <row r="260" spans="1:16" x14ac:dyDescent="0.2">
      <c r="A260" s="1" t="s">
        <v>170</v>
      </c>
      <c r="B260" s="1" t="s">
        <v>172</v>
      </c>
      <c r="C260" s="1" t="s">
        <v>176</v>
      </c>
      <c r="D260" s="1">
        <v>2016</v>
      </c>
      <c r="E260" s="1">
        <v>2014</v>
      </c>
      <c r="F260" s="1" t="s">
        <v>281</v>
      </c>
      <c r="G260" s="1" t="s">
        <v>244</v>
      </c>
      <c r="H260" s="1" t="s">
        <v>245</v>
      </c>
      <c r="I260" s="1" t="s">
        <v>246</v>
      </c>
      <c r="J260" s="1">
        <v>3</v>
      </c>
      <c r="K260" s="1" t="s">
        <v>247</v>
      </c>
      <c r="L260" s="1" t="s">
        <v>176</v>
      </c>
      <c r="M260" s="1" t="s">
        <v>176</v>
      </c>
      <c r="N260" s="1" t="s">
        <v>176</v>
      </c>
      <c r="O260" s="21">
        <f>76.25*23</f>
        <v>1753.75</v>
      </c>
      <c r="P260" s="1" t="s">
        <v>631</v>
      </c>
    </row>
    <row r="261" spans="1:16" x14ac:dyDescent="0.2">
      <c r="A261" s="1" t="s">
        <v>170</v>
      </c>
      <c r="B261" s="1" t="s">
        <v>172</v>
      </c>
      <c r="C261" s="1" t="s">
        <v>176</v>
      </c>
      <c r="D261" s="1">
        <v>2016</v>
      </c>
      <c r="E261" s="1">
        <v>2014</v>
      </c>
      <c r="F261" s="1" t="s">
        <v>281</v>
      </c>
      <c r="G261" s="1" t="s">
        <v>244</v>
      </c>
      <c r="H261" s="1" t="s">
        <v>245</v>
      </c>
      <c r="I261" s="1" t="s">
        <v>246</v>
      </c>
      <c r="J261" s="1">
        <v>4</v>
      </c>
      <c r="K261" s="1" t="s">
        <v>247</v>
      </c>
      <c r="L261" s="1" t="s">
        <v>176</v>
      </c>
      <c r="M261" s="1" t="s">
        <v>176</v>
      </c>
      <c r="N261" s="1" t="s">
        <v>176</v>
      </c>
      <c r="O261" s="21">
        <f>76.25*41</f>
        <v>3126.25</v>
      </c>
      <c r="P261" s="1" t="s">
        <v>631</v>
      </c>
    </row>
    <row r="262" spans="1:16" x14ac:dyDescent="0.2">
      <c r="A262" s="1" t="s">
        <v>170</v>
      </c>
      <c r="B262" s="1" t="s">
        <v>172</v>
      </c>
      <c r="C262" s="1" t="s">
        <v>176</v>
      </c>
      <c r="D262" s="1">
        <v>2016</v>
      </c>
      <c r="E262" s="1">
        <v>2014</v>
      </c>
      <c r="F262" s="1" t="s">
        <v>281</v>
      </c>
      <c r="G262" s="1" t="s">
        <v>244</v>
      </c>
      <c r="H262" s="1" t="s">
        <v>245</v>
      </c>
      <c r="I262" s="1" t="s">
        <v>246</v>
      </c>
      <c r="J262" s="1">
        <v>6</v>
      </c>
      <c r="K262" s="1" t="s">
        <v>247</v>
      </c>
      <c r="L262" s="1" t="s">
        <v>176</v>
      </c>
      <c r="M262" s="1" t="s">
        <v>176</v>
      </c>
      <c r="N262" s="1" t="s">
        <v>176</v>
      </c>
      <c r="O262" s="21">
        <f>76.25*64</f>
        <v>4880</v>
      </c>
      <c r="P262" s="1" t="s">
        <v>631</v>
      </c>
    </row>
    <row r="263" spans="1:16" x14ac:dyDescent="0.2">
      <c r="A263" s="1" t="s">
        <v>170</v>
      </c>
      <c r="B263" s="1" t="s">
        <v>172</v>
      </c>
      <c r="C263" s="1" t="s">
        <v>176</v>
      </c>
      <c r="D263" s="1">
        <v>2016</v>
      </c>
      <c r="E263" s="1">
        <v>2014</v>
      </c>
      <c r="F263" s="1" t="s">
        <v>281</v>
      </c>
      <c r="G263" s="1" t="s">
        <v>244</v>
      </c>
      <c r="H263" s="1" t="s">
        <v>245</v>
      </c>
      <c r="I263" s="1" t="s">
        <v>246</v>
      </c>
      <c r="J263" s="1">
        <v>8</v>
      </c>
      <c r="K263" s="1" t="s">
        <v>247</v>
      </c>
      <c r="L263" s="1" t="s">
        <v>176</v>
      </c>
      <c r="M263" s="1" t="s">
        <v>176</v>
      </c>
      <c r="N263" s="1" t="s">
        <v>176</v>
      </c>
      <c r="O263" s="21">
        <f>76.25*94</f>
        <v>7167.5</v>
      </c>
      <c r="P263" s="1" t="s">
        <v>631</v>
      </c>
    </row>
    <row r="264" spans="1:16" x14ac:dyDescent="0.2">
      <c r="A264" s="1" t="s">
        <v>170</v>
      </c>
      <c r="B264" s="1" t="s">
        <v>172</v>
      </c>
      <c r="C264" s="1" t="s">
        <v>176</v>
      </c>
      <c r="D264" s="1">
        <v>2016</v>
      </c>
      <c r="E264" s="1">
        <v>2014</v>
      </c>
      <c r="F264" s="1" t="s">
        <v>281</v>
      </c>
      <c r="G264" s="1" t="s">
        <v>244</v>
      </c>
      <c r="H264" s="1" t="s">
        <v>250</v>
      </c>
      <c r="I264" s="1" t="s">
        <v>176</v>
      </c>
      <c r="J264" s="1" t="s">
        <v>176</v>
      </c>
      <c r="K264" s="1" t="s">
        <v>252</v>
      </c>
      <c r="L264" s="1" t="s">
        <v>176</v>
      </c>
      <c r="M264" s="1" t="s">
        <v>176</v>
      </c>
      <c r="N264" s="1" t="s">
        <v>176</v>
      </c>
      <c r="O264" s="21">
        <v>2.63</v>
      </c>
      <c r="P264" s="1" t="s">
        <v>254</v>
      </c>
    </row>
    <row r="265" spans="1:16" x14ac:dyDescent="0.2">
      <c r="A265" s="1" t="s">
        <v>170</v>
      </c>
      <c r="B265" s="1" t="s">
        <v>172</v>
      </c>
      <c r="C265" s="1" t="s">
        <v>176</v>
      </c>
      <c r="D265" s="1">
        <v>2017</v>
      </c>
      <c r="E265" s="1">
        <v>2014</v>
      </c>
      <c r="F265" s="1" t="s">
        <v>281</v>
      </c>
      <c r="G265" s="1" t="s">
        <v>244</v>
      </c>
      <c r="H265" s="1" t="s">
        <v>245</v>
      </c>
      <c r="I265" s="1" t="s">
        <v>629</v>
      </c>
      <c r="J265" s="1" t="s">
        <v>215</v>
      </c>
      <c r="K265" s="1" t="s">
        <v>630</v>
      </c>
      <c r="L265" s="1" t="s">
        <v>176</v>
      </c>
      <c r="M265" s="1" t="s">
        <v>176</v>
      </c>
      <c r="N265" s="1" t="s">
        <v>176</v>
      </c>
      <c r="O265" s="21">
        <v>76.25</v>
      </c>
      <c r="P265" s="1" t="s">
        <v>631</v>
      </c>
    </row>
    <row r="266" spans="1:16" x14ac:dyDescent="0.2">
      <c r="A266" s="1" t="s">
        <v>170</v>
      </c>
      <c r="B266" s="1" t="s">
        <v>172</v>
      </c>
      <c r="C266" s="1" t="s">
        <v>176</v>
      </c>
      <c r="D266" s="1">
        <v>2017</v>
      </c>
      <c r="E266" s="1">
        <v>2014</v>
      </c>
      <c r="F266" s="1" t="s">
        <v>281</v>
      </c>
      <c r="G266" s="1" t="s">
        <v>244</v>
      </c>
      <c r="H266" s="1" t="s">
        <v>245</v>
      </c>
      <c r="I266" s="1" t="s">
        <v>629</v>
      </c>
      <c r="J266" s="1" t="s">
        <v>632</v>
      </c>
      <c r="K266" s="1" t="s">
        <v>630</v>
      </c>
      <c r="L266" s="1" t="s">
        <v>176</v>
      </c>
      <c r="M266" s="1" t="s">
        <v>176</v>
      </c>
      <c r="N266" s="1" t="s">
        <v>176</v>
      </c>
      <c r="O266" s="21">
        <v>76.25</v>
      </c>
      <c r="P266" s="1" t="s">
        <v>631</v>
      </c>
    </row>
    <row r="267" spans="1:16" x14ac:dyDescent="0.2">
      <c r="A267" s="1" t="s">
        <v>170</v>
      </c>
      <c r="B267" s="1" t="s">
        <v>172</v>
      </c>
      <c r="C267" s="1" t="s">
        <v>176</v>
      </c>
      <c r="D267" s="1">
        <v>2017</v>
      </c>
      <c r="E267" s="1">
        <v>2014</v>
      </c>
      <c r="F267" s="1" t="s">
        <v>281</v>
      </c>
      <c r="G267" s="1" t="s">
        <v>244</v>
      </c>
      <c r="H267" s="1" t="s">
        <v>245</v>
      </c>
      <c r="I267" s="1" t="s">
        <v>629</v>
      </c>
      <c r="J267" s="1" t="s">
        <v>633</v>
      </c>
      <c r="K267" s="1" t="s">
        <v>630</v>
      </c>
      <c r="L267" s="1" t="s">
        <v>176</v>
      </c>
      <c r="M267" s="1" t="s">
        <v>176</v>
      </c>
      <c r="N267" s="1" t="s">
        <v>176</v>
      </c>
      <c r="O267" s="21">
        <v>131.37</v>
      </c>
      <c r="P267" s="1" t="s">
        <v>635</v>
      </c>
    </row>
    <row r="268" spans="1:16" x14ac:dyDescent="0.2">
      <c r="A268" s="1" t="s">
        <v>170</v>
      </c>
      <c r="B268" s="1" t="s">
        <v>172</v>
      </c>
      <c r="C268" s="1" t="s">
        <v>176</v>
      </c>
      <c r="D268" s="1">
        <v>2017</v>
      </c>
      <c r="E268" s="1">
        <v>2014</v>
      </c>
      <c r="F268" s="1" t="s">
        <v>281</v>
      </c>
      <c r="G268" s="1" t="s">
        <v>244</v>
      </c>
      <c r="H268" s="1" t="s">
        <v>245</v>
      </c>
      <c r="I268" s="1" t="s">
        <v>629</v>
      </c>
      <c r="J268" s="1" t="s">
        <v>634</v>
      </c>
      <c r="K268" s="1" t="s">
        <v>630</v>
      </c>
      <c r="L268" s="1" t="s">
        <v>176</v>
      </c>
      <c r="M268" s="1" t="s">
        <v>176</v>
      </c>
      <c r="N268" s="1" t="s">
        <v>176</v>
      </c>
      <c r="O268" s="21">
        <v>183.93</v>
      </c>
      <c r="P268" s="1" t="s">
        <v>635</v>
      </c>
    </row>
    <row r="269" spans="1:16" x14ac:dyDescent="0.2">
      <c r="A269" s="1" t="s">
        <v>170</v>
      </c>
      <c r="B269" s="1" t="s">
        <v>172</v>
      </c>
      <c r="C269" s="1" t="s">
        <v>176</v>
      </c>
      <c r="D269" s="1">
        <v>2017</v>
      </c>
      <c r="E269" s="1">
        <v>2014</v>
      </c>
      <c r="F269" s="1" t="s">
        <v>281</v>
      </c>
      <c r="G269" s="1" t="s">
        <v>244</v>
      </c>
      <c r="H269" s="1" t="s">
        <v>245</v>
      </c>
      <c r="I269" s="1" t="s">
        <v>246</v>
      </c>
      <c r="J269" s="1">
        <v>0.625</v>
      </c>
      <c r="K269" s="1" t="s">
        <v>247</v>
      </c>
      <c r="L269" s="1" t="s">
        <v>176</v>
      </c>
      <c r="M269" s="1" t="s">
        <v>176</v>
      </c>
      <c r="N269" s="1" t="s">
        <v>176</v>
      </c>
      <c r="O269" s="21">
        <v>76.25</v>
      </c>
      <c r="P269" s="1" t="s">
        <v>631</v>
      </c>
    </row>
    <row r="270" spans="1:16" x14ac:dyDescent="0.2">
      <c r="A270" s="1" t="s">
        <v>170</v>
      </c>
      <c r="B270" s="1" t="s">
        <v>172</v>
      </c>
      <c r="C270" s="1" t="s">
        <v>176</v>
      </c>
      <c r="D270" s="1">
        <v>2017</v>
      </c>
      <c r="E270" s="1">
        <v>2014</v>
      </c>
      <c r="F270" s="1" t="s">
        <v>281</v>
      </c>
      <c r="G270" s="1" t="s">
        <v>244</v>
      </c>
      <c r="H270" s="1" t="s">
        <v>245</v>
      </c>
      <c r="I270" s="1" t="s">
        <v>246</v>
      </c>
      <c r="J270" s="1">
        <v>0.75</v>
      </c>
      <c r="K270" s="1" t="s">
        <v>247</v>
      </c>
      <c r="L270" s="1" t="s">
        <v>176</v>
      </c>
      <c r="M270" s="1" t="s">
        <v>176</v>
      </c>
      <c r="N270" s="1" t="s">
        <v>176</v>
      </c>
      <c r="O270" s="21">
        <f>76.25*2</f>
        <v>152.5</v>
      </c>
      <c r="P270" s="1" t="s">
        <v>631</v>
      </c>
    </row>
    <row r="271" spans="1:16" x14ac:dyDescent="0.2">
      <c r="A271" s="1" t="s">
        <v>170</v>
      </c>
      <c r="B271" s="1" t="s">
        <v>172</v>
      </c>
      <c r="C271" s="1" t="s">
        <v>176</v>
      </c>
      <c r="D271" s="1">
        <v>2017</v>
      </c>
      <c r="E271" s="1">
        <v>2014</v>
      </c>
      <c r="F271" s="1" t="s">
        <v>281</v>
      </c>
      <c r="G271" s="1" t="s">
        <v>244</v>
      </c>
      <c r="H271" s="1" t="s">
        <v>245</v>
      </c>
      <c r="I271" s="1" t="s">
        <v>246</v>
      </c>
      <c r="J271" s="1">
        <v>1</v>
      </c>
      <c r="K271" s="1" t="s">
        <v>247</v>
      </c>
      <c r="L271" s="1" t="s">
        <v>176</v>
      </c>
      <c r="M271" s="1" t="s">
        <v>176</v>
      </c>
      <c r="N271" s="1" t="s">
        <v>176</v>
      </c>
      <c r="O271" s="21">
        <f>76.25*3</f>
        <v>228.75</v>
      </c>
      <c r="P271" s="1" t="s">
        <v>631</v>
      </c>
    </row>
    <row r="272" spans="1:16" x14ac:dyDescent="0.2">
      <c r="A272" s="1" t="s">
        <v>170</v>
      </c>
      <c r="B272" s="1" t="s">
        <v>172</v>
      </c>
      <c r="C272" s="1" t="s">
        <v>176</v>
      </c>
      <c r="D272" s="1">
        <v>2017</v>
      </c>
      <c r="E272" s="1">
        <v>2014</v>
      </c>
      <c r="F272" s="1" t="s">
        <v>281</v>
      </c>
      <c r="G272" s="1" t="s">
        <v>244</v>
      </c>
      <c r="H272" s="1" t="s">
        <v>245</v>
      </c>
      <c r="I272" s="1" t="s">
        <v>246</v>
      </c>
      <c r="J272" s="1">
        <v>1.5</v>
      </c>
      <c r="K272" s="1" t="s">
        <v>247</v>
      </c>
      <c r="L272" s="1" t="s">
        <v>176</v>
      </c>
      <c r="M272" s="1" t="s">
        <v>176</v>
      </c>
      <c r="N272" s="1" t="s">
        <v>176</v>
      </c>
      <c r="O272" s="21">
        <f>76.25*6</f>
        <v>457.5</v>
      </c>
      <c r="P272" s="1" t="s">
        <v>631</v>
      </c>
    </row>
    <row r="273" spans="1:16" x14ac:dyDescent="0.2">
      <c r="A273" s="1" t="s">
        <v>170</v>
      </c>
      <c r="B273" s="1" t="s">
        <v>172</v>
      </c>
      <c r="C273" s="1" t="s">
        <v>176</v>
      </c>
      <c r="D273" s="1">
        <v>2017</v>
      </c>
      <c r="E273" s="1">
        <v>2014</v>
      </c>
      <c r="F273" s="1" t="s">
        <v>281</v>
      </c>
      <c r="G273" s="1" t="s">
        <v>244</v>
      </c>
      <c r="H273" s="1" t="s">
        <v>245</v>
      </c>
      <c r="I273" s="1" t="s">
        <v>246</v>
      </c>
      <c r="J273" s="1">
        <v>2</v>
      </c>
      <c r="K273" s="1" t="s">
        <v>247</v>
      </c>
      <c r="L273" s="1" t="s">
        <v>176</v>
      </c>
      <c r="M273" s="1" t="s">
        <v>176</v>
      </c>
      <c r="N273" s="1" t="s">
        <v>176</v>
      </c>
      <c r="O273" s="21">
        <f>76.25*11</f>
        <v>838.75</v>
      </c>
      <c r="P273" s="1" t="s">
        <v>631</v>
      </c>
    </row>
    <row r="274" spans="1:16" x14ac:dyDescent="0.2">
      <c r="A274" s="1" t="s">
        <v>170</v>
      </c>
      <c r="B274" s="1" t="s">
        <v>172</v>
      </c>
      <c r="C274" s="1" t="s">
        <v>176</v>
      </c>
      <c r="D274" s="1">
        <v>2017</v>
      </c>
      <c r="E274" s="1">
        <v>2014</v>
      </c>
      <c r="F274" s="1" t="s">
        <v>281</v>
      </c>
      <c r="G274" s="1" t="s">
        <v>244</v>
      </c>
      <c r="H274" s="1" t="s">
        <v>245</v>
      </c>
      <c r="I274" s="1" t="s">
        <v>246</v>
      </c>
      <c r="J274" s="1">
        <v>3</v>
      </c>
      <c r="K274" s="1" t="s">
        <v>247</v>
      </c>
      <c r="L274" s="1" t="s">
        <v>176</v>
      </c>
      <c r="M274" s="1" t="s">
        <v>176</v>
      </c>
      <c r="N274" s="1" t="s">
        <v>176</v>
      </c>
      <c r="O274" s="21">
        <f>76.25*23</f>
        <v>1753.75</v>
      </c>
      <c r="P274" s="1" t="s">
        <v>631</v>
      </c>
    </row>
    <row r="275" spans="1:16" x14ac:dyDescent="0.2">
      <c r="A275" s="1" t="s">
        <v>170</v>
      </c>
      <c r="B275" s="1" t="s">
        <v>172</v>
      </c>
      <c r="C275" s="1" t="s">
        <v>176</v>
      </c>
      <c r="D275" s="1">
        <v>2017</v>
      </c>
      <c r="E275" s="1">
        <v>2014</v>
      </c>
      <c r="F275" s="1" t="s">
        <v>281</v>
      </c>
      <c r="G275" s="1" t="s">
        <v>244</v>
      </c>
      <c r="H275" s="1" t="s">
        <v>245</v>
      </c>
      <c r="I275" s="1" t="s">
        <v>246</v>
      </c>
      <c r="J275" s="1">
        <v>4</v>
      </c>
      <c r="K275" s="1" t="s">
        <v>247</v>
      </c>
      <c r="L275" s="1" t="s">
        <v>176</v>
      </c>
      <c r="M275" s="1" t="s">
        <v>176</v>
      </c>
      <c r="N275" s="1" t="s">
        <v>176</v>
      </c>
      <c r="O275" s="21">
        <f>76.25*41</f>
        <v>3126.25</v>
      </c>
      <c r="P275" s="1" t="s">
        <v>631</v>
      </c>
    </row>
    <row r="276" spans="1:16" x14ac:dyDescent="0.2">
      <c r="A276" s="1" t="s">
        <v>170</v>
      </c>
      <c r="B276" s="1" t="s">
        <v>172</v>
      </c>
      <c r="C276" s="1" t="s">
        <v>176</v>
      </c>
      <c r="D276" s="1">
        <v>2017</v>
      </c>
      <c r="E276" s="1">
        <v>2014</v>
      </c>
      <c r="F276" s="1" t="s">
        <v>281</v>
      </c>
      <c r="G276" s="1" t="s">
        <v>244</v>
      </c>
      <c r="H276" s="1" t="s">
        <v>245</v>
      </c>
      <c r="I276" s="1" t="s">
        <v>246</v>
      </c>
      <c r="J276" s="1">
        <v>6</v>
      </c>
      <c r="K276" s="1" t="s">
        <v>247</v>
      </c>
      <c r="L276" s="1" t="s">
        <v>176</v>
      </c>
      <c r="M276" s="1" t="s">
        <v>176</v>
      </c>
      <c r="N276" s="1" t="s">
        <v>176</v>
      </c>
      <c r="O276" s="21">
        <f>76.25*64</f>
        <v>4880</v>
      </c>
      <c r="P276" s="1" t="s">
        <v>631</v>
      </c>
    </row>
    <row r="277" spans="1:16" x14ac:dyDescent="0.2">
      <c r="A277" s="1" t="s">
        <v>170</v>
      </c>
      <c r="B277" s="1" t="s">
        <v>172</v>
      </c>
      <c r="C277" s="1" t="s">
        <v>176</v>
      </c>
      <c r="D277" s="1">
        <v>2017</v>
      </c>
      <c r="E277" s="1">
        <v>2014</v>
      </c>
      <c r="F277" s="1" t="s">
        <v>281</v>
      </c>
      <c r="G277" s="1" t="s">
        <v>244</v>
      </c>
      <c r="H277" s="1" t="s">
        <v>245</v>
      </c>
      <c r="I277" s="1" t="s">
        <v>246</v>
      </c>
      <c r="J277" s="1">
        <v>8</v>
      </c>
      <c r="K277" s="1" t="s">
        <v>247</v>
      </c>
      <c r="L277" s="1" t="s">
        <v>176</v>
      </c>
      <c r="M277" s="1" t="s">
        <v>176</v>
      </c>
      <c r="N277" s="1" t="s">
        <v>176</v>
      </c>
      <c r="O277" s="21">
        <f>76.25*94</f>
        <v>7167.5</v>
      </c>
      <c r="P277" s="1" t="s">
        <v>631</v>
      </c>
    </row>
    <row r="278" spans="1:16" x14ac:dyDescent="0.2">
      <c r="A278" s="1" t="s">
        <v>170</v>
      </c>
      <c r="B278" s="1" t="s">
        <v>172</v>
      </c>
      <c r="C278" s="1" t="s">
        <v>176</v>
      </c>
      <c r="D278" s="1">
        <v>2017</v>
      </c>
      <c r="E278" s="1">
        <v>2014</v>
      </c>
      <c r="F278" s="1" t="s">
        <v>281</v>
      </c>
      <c r="G278" s="1" t="s">
        <v>244</v>
      </c>
      <c r="H278" s="1" t="s">
        <v>250</v>
      </c>
      <c r="I278" s="1" t="s">
        <v>176</v>
      </c>
      <c r="J278" s="1" t="s">
        <v>176</v>
      </c>
      <c r="K278" s="1" t="s">
        <v>252</v>
      </c>
      <c r="L278" s="1" t="s">
        <v>176</v>
      </c>
      <c r="M278" s="1" t="s">
        <v>176</v>
      </c>
      <c r="N278" s="1" t="s">
        <v>176</v>
      </c>
      <c r="O278" s="21">
        <v>2.63</v>
      </c>
      <c r="P278" s="1" t="s">
        <v>254</v>
      </c>
    </row>
    <row r="279" spans="1:16" x14ac:dyDescent="0.2">
      <c r="A279" s="1" t="s">
        <v>170</v>
      </c>
      <c r="B279" s="1" t="s">
        <v>172</v>
      </c>
      <c r="C279" s="1">
        <v>2016</v>
      </c>
      <c r="D279" s="1">
        <v>2015</v>
      </c>
      <c r="E279" s="1">
        <v>2011</v>
      </c>
      <c r="F279" s="1" t="s">
        <v>173</v>
      </c>
      <c r="G279" s="1" t="s">
        <v>244</v>
      </c>
      <c r="H279" s="1" t="s">
        <v>245</v>
      </c>
      <c r="I279" s="1" t="s">
        <v>246</v>
      </c>
      <c r="J279" s="1">
        <v>0.625</v>
      </c>
      <c r="K279" s="1" t="s">
        <v>247</v>
      </c>
      <c r="L279" s="1">
        <v>0</v>
      </c>
      <c r="M279" s="1" t="s">
        <v>248</v>
      </c>
      <c r="N279" s="1" t="s">
        <v>217</v>
      </c>
      <c r="O279" s="21">
        <v>35</v>
      </c>
      <c r="P279" s="1" t="s">
        <v>249</v>
      </c>
    </row>
    <row r="280" spans="1:16" x14ac:dyDescent="0.2">
      <c r="A280" s="1" t="s">
        <v>170</v>
      </c>
      <c r="B280" s="1" t="s">
        <v>172</v>
      </c>
      <c r="C280" s="1">
        <v>2016</v>
      </c>
      <c r="D280" s="1">
        <v>2015</v>
      </c>
      <c r="E280" s="1">
        <v>2011</v>
      </c>
      <c r="F280" s="1" t="s">
        <v>173</v>
      </c>
      <c r="G280" s="1" t="s">
        <v>244</v>
      </c>
      <c r="H280" s="1" t="s">
        <v>245</v>
      </c>
      <c r="I280" s="1" t="s">
        <v>246</v>
      </c>
      <c r="J280" s="1">
        <v>0.75</v>
      </c>
      <c r="K280" s="1" t="s">
        <v>247</v>
      </c>
      <c r="L280" s="1">
        <v>0</v>
      </c>
      <c r="M280" s="1" t="s">
        <v>248</v>
      </c>
      <c r="N280" s="1" t="s">
        <v>217</v>
      </c>
      <c r="O280" s="21">
        <v>35</v>
      </c>
      <c r="P280" s="1" t="s">
        <v>249</v>
      </c>
    </row>
    <row r="281" spans="1:16" x14ac:dyDescent="0.2">
      <c r="A281" s="1" t="s">
        <v>170</v>
      </c>
      <c r="B281" s="1" t="s">
        <v>172</v>
      </c>
      <c r="C281" s="1">
        <v>2016</v>
      </c>
      <c r="D281" s="1">
        <v>2015</v>
      </c>
      <c r="E281" s="1">
        <v>2011</v>
      </c>
      <c r="F281" s="1" t="s">
        <v>173</v>
      </c>
      <c r="G281" s="1" t="s">
        <v>244</v>
      </c>
      <c r="H281" s="1" t="s">
        <v>245</v>
      </c>
      <c r="I281" s="1" t="s">
        <v>246</v>
      </c>
      <c r="J281" s="1">
        <v>1</v>
      </c>
      <c r="K281" s="1" t="s">
        <v>247</v>
      </c>
      <c r="L281" s="1">
        <v>0</v>
      </c>
      <c r="M281" s="1" t="s">
        <v>248</v>
      </c>
      <c r="N281" s="1" t="s">
        <v>217</v>
      </c>
      <c r="O281" s="21">
        <v>69</v>
      </c>
      <c r="P281" s="1" t="s">
        <v>249</v>
      </c>
    </row>
    <row r="282" spans="1:16" x14ac:dyDescent="0.2">
      <c r="A282" s="1" t="s">
        <v>170</v>
      </c>
      <c r="B282" s="1" t="s">
        <v>172</v>
      </c>
      <c r="C282" s="1">
        <v>2016</v>
      </c>
      <c r="D282" s="1">
        <v>2015</v>
      </c>
      <c r="E282" s="1">
        <v>2011</v>
      </c>
      <c r="F282" s="1" t="s">
        <v>173</v>
      </c>
      <c r="G282" s="1" t="s">
        <v>244</v>
      </c>
      <c r="H282" s="1" t="s">
        <v>245</v>
      </c>
      <c r="I282" s="1" t="s">
        <v>246</v>
      </c>
      <c r="J282" s="1">
        <v>1.5</v>
      </c>
      <c r="K282" s="1" t="s">
        <v>247</v>
      </c>
      <c r="L282" s="1">
        <v>0</v>
      </c>
      <c r="M282" s="1" t="s">
        <v>248</v>
      </c>
      <c r="N282" s="1" t="s">
        <v>217</v>
      </c>
      <c r="O282" s="21">
        <v>135</v>
      </c>
      <c r="P282" s="1" t="s">
        <v>249</v>
      </c>
    </row>
    <row r="283" spans="1:16" x14ac:dyDescent="0.2">
      <c r="A283" s="1" t="s">
        <v>170</v>
      </c>
      <c r="B283" s="1" t="s">
        <v>172</v>
      </c>
      <c r="C283" s="1">
        <v>2016</v>
      </c>
      <c r="D283" s="1">
        <v>2015</v>
      </c>
      <c r="E283" s="1">
        <v>2011</v>
      </c>
      <c r="F283" s="1" t="s">
        <v>173</v>
      </c>
      <c r="G283" s="1" t="s">
        <v>244</v>
      </c>
      <c r="H283" s="1" t="s">
        <v>245</v>
      </c>
      <c r="I283" s="1" t="s">
        <v>246</v>
      </c>
      <c r="J283" s="1">
        <v>2</v>
      </c>
      <c r="K283" s="1" t="s">
        <v>247</v>
      </c>
      <c r="L283" s="1">
        <v>0</v>
      </c>
      <c r="M283" s="1" t="s">
        <v>248</v>
      </c>
      <c r="N283" s="1" t="s">
        <v>217</v>
      </c>
      <c r="O283" s="21">
        <v>201</v>
      </c>
      <c r="P283" s="1" t="s">
        <v>249</v>
      </c>
    </row>
    <row r="284" spans="1:16" x14ac:dyDescent="0.2">
      <c r="A284" s="1" t="s">
        <v>170</v>
      </c>
      <c r="B284" s="1" t="s">
        <v>172</v>
      </c>
      <c r="C284" s="1">
        <v>2016</v>
      </c>
      <c r="D284" s="1">
        <v>2015</v>
      </c>
      <c r="E284" s="1">
        <v>2011</v>
      </c>
      <c r="F284" s="1" t="s">
        <v>173</v>
      </c>
      <c r="G284" s="1" t="s">
        <v>244</v>
      </c>
      <c r="H284" s="1" t="s">
        <v>245</v>
      </c>
      <c r="I284" s="1" t="s">
        <v>246</v>
      </c>
      <c r="J284" s="1">
        <v>3</v>
      </c>
      <c r="K284" s="1" t="s">
        <v>247</v>
      </c>
      <c r="L284" s="1">
        <v>0</v>
      </c>
      <c r="M284" s="1" t="s">
        <v>248</v>
      </c>
      <c r="N284" s="1" t="s">
        <v>217</v>
      </c>
      <c r="O284" s="21">
        <v>420</v>
      </c>
      <c r="P284" s="1" t="s">
        <v>249</v>
      </c>
    </row>
    <row r="285" spans="1:16" x14ac:dyDescent="0.2">
      <c r="A285" s="1" t="s">
        <v>170</v>
      </c>
      <c r="B285" s="1" t="s">
        <v>172</v>
      </c>
      <c r="C285" s="1">
        <v>2016</v>
      </c>
      <c r="D285" s="1">
        <v>2015</v>
      </c>
      <c r="E285" s="1">
        <v>2011</v>
      </c>
      <c r="F285" s="1" t="s">
        <v>173</v>
      </c>
      <c r="G285" s="1" t="s">
        <v>244</v>
      </c>
      <c r="H285" s="1" t="s">
        <v>245</v>
      </c>
      <c r="I285" s="1" t="s">
        <v>246</v>
      </c>
      <c r="J285" s="1">
        <v>4</v>
      </c>
      <c r="K285" s="1" t="s">
        <v>247</v>
      </c>
      <c r="L285" s="1">
        <v>0</v>
      </c>
      <c r="M285" s="1" t="s">
        <v>248</v>
      </c>
      <c r="N285" s="1" t="s">
        <v>217</v>
      </c>
      <c r="O285" s="21">
        <v>615</v>
      </c>
      <c r="P285" s="1" t="s">
        <v>249</v>
      </c>
    </row>
    <row r="286" spans="1:16" x14ac:dyDescent="0.2">
      <c r="A286" s="1" t="s">
        <v>170</v>
      </c>
      <c r="B286" s="1" t="s">
        <v>172</v>
      </c>
      <c r="C286" s="1">
        <v>2016</v>
      </c>
      <c r="D286" s="1">
        <v>2015</v>
      </c>
      <c r="E286" s="1">
        <v>2011</v>
      </c>
      <c r="F286" s="1" t="s">
        <v>173</v>
      </c>
      <c r="G286" s="1" t="s">
        <v>244</v>
      </c>
      <c r="H286" s="1" t="s">
        <v>245</v>
      </c>
      <c r="I286" s="1" t="s">
        <v>246</v>
      </c>
      <c r="J286" s="1">
        <v>6</v>
      </c>
      <c r="K286" s="1" t="s">
        <v>247</v>
      </c>
      <c r="L286" s="1">
        <v>0</v>
      </c>
      <c r="M286" s="1" t="s">
        <v>248</v>
      </c>
      <c r="N286" s="1" t="s">
        <v>217</v>
      </c>
      <c r="O286" s="21">
        <v>1153</v>
      </c>
      <c r="P286" s="1" t="s">
        <v>249</v>
      </c>
    </row>
    <row r="287" spans="1:16" x14ac:dyDescent="0.2">
      <c r="A287" s="1" t="s">
        <v>170</v>
      </c>
      <c r="B287" s="1" t="s">
        <v>172</v>
      </c>
      <c r="C287" s="1">
        <v>2016</v>
      </c>
      <c r="D287" s="1">
        <v>2015</v>
      </c>
      <c r="E287" s="1">
        <v>2011</v>
      </c>
      <c r="F287" s="1" t="s">
        <v>173</v>
      </c>
      <c r="G287" s="1" t="s">
        <v>244</v>
      </c>
      <c r="H287" s="1" t="s">
        <v>245</v>
      </c>
      <c r="I287" s="1" t="s">
        <v>246</v>
      </c>
      <c r="J287" s="1">
        <v>8</v>
      </c>
      <c r="K287" s="1" t="s">
        <v>247</v>
      </c>
      <c r="L287" s="1">
        <v>0</v>
      </c>
      <c r="M287" s="1" t="s">
        <v>248</v>
      </c>
      <c r="N287" s="1" t="s">
        <v>217</v>
      </c>
      <c r="O287" s="21">
        <v>1791</v>
      </c>
      <c r="P287" s="1" t="s">
        <v>249</v>
      </c>
    </row>
    <row r="288" spans="1:16" x14ac:dyDescent="0.2">
      <c r="A288" s="1" t="s">
        <v>170</v>
      </c>
      <c r="B288" s="1" t="s">
        <v>172</v>
      </c>
      <c r="C288" s="1">
        <v>2016</v>
      </c>
      <c r="D288" s="1">
        <v>2015</v>
      </c>
      <c r="E288" s="1">
        <v>2011</v>
      </c>
      <c r="F288" s="1" t="s">
        <v>173</v>
      </c>
      <c r="G288" s="1" t="s">
        <v>244</v>
      </c>
      <c r="H288" s="1" t="s">
        <v>245</v>
      </c>
      <c r="I288" s="1" t="s">
        <v>246</v>
      </c>
      <c r="J288" s="1">
        <v>10</v>
      </c>
      <c r="K288" s="1" t="s">
        <v>247</v>
      </c>
      <c r="L288" s="1">
        <v>0</v>
      </c>
      <c r="M288" s="1" t="s">
        <v>248</v>
      </c>
      <c r="N288" s="1" t="s">
        <v>217</v>
      </c>
      <c r="O288" s="21">
        <v>2185</v>
      </c>
      <c r="P288" s="1" t="s">
        <v>249</v>
      </c>
    </row>
    <row r="289" spans="1:16" x14ac:dyDescent="0.2">
      <c r="A289" s="1" t="s">
        <v>170</v>
      </c>
      <c r="B289" s="1" t="s">
        <v>172</v>
      </c>
      <c r="C289" s="1">
        <v>2016</v>
      </c>
      <c r="D289" s="1">
        <v>2015</v>
      </c>
      <c r="E289" s="1">
        <v>2011</v>
      </c>
      <c r="F289" s="1" t="s">
        <v>173</v>
      </c>
      <c r="G289" s="1" t="s">
        <v>244</v>
      </c>
      <c r="H289" s="1" t="s">
        <v>245</v>
      </c>
      <c r="I289" s="1" t="s">
        <v>246</v>
      </c>
      <c r="J289" s="1">
        <v>0.625</v>
      </c>
      <c r="K289" s="1" t="s">
        <v>247</v>
      </c>
      <c r="L289" s="1">
        <v>0</v>
      </c>
      <c r="M289" s="1" t="s">
        <v>248</v>
      </c>
      <c r="N289" s="1" t="s">
        <v>218</v>
      </c>
      <c r="O289" s="21">
        <v>37</v>
      </c>
      <c r="P289" s="1" t="s">
        <v>249</v>
      </c>
    </row>
    <row r="290" spans="1:16" x14ac:dyDescent="0.2">
      <c r="A290" s="1" t="s">
        <v>170</v>
      </c>
      <c r="B290" s="1" t="s">
        <v>172</v>
      </c>
      <c r="C290" s="1">
        <v>2016</v>
      </c>
      <c r="D290" s="1">
        <v>2015</v>
      </c>
      <c r="E290" s="1">
        <v>2011</v>
      </c>
      <c r="F290" s="1" t="s">
        <v>173</v>
      </c>
      <c r="G290" s="1" t="s">
        <v>244</v>
      </c>
      <c r="H290" s="1" t="s">
        <v>245</v>
      </c>
      <c r="I290" s="1" t="s">
        <v>246</v>
      </c>
      <c r="J290" s="1">
        <v>0.75</v>
      </c>
      <c r="K290" s="1" t="s">
        <v>247</v>
      </c>
      <c r="L290" s="1">
        <v>0</v>
      </c>
      <c r="M290" s="1" t="s">
        <v>248</v>
      </c>
      <c r="N290" s="1" t="s">
        <v>218</v>
      </c>
      <c r="O290" s="21">
        <v>37</v>
      </c>
      <c r="P290" s="1" t="s">
        <v>249</v>
      </c>
    </row>
    <row r="291" spans="1:16" x14ac:dyDescent="0.2">
      <c r="A291" s="1" t="s">
        <v>170</v>
      </c>
      <c r="B291" s="1" t="s">
        <v>172</v>
      </c>
      <c r="C291" s="1">
        <v>2016</v>
      </c>
      <c r="D291" s="1">
        <v>2015</v>
      </c>
      <c r="E291" s="1">
        <v>2011</v>
      </c>
      <c r="F291" s="1" t="s">
        <v>173</v>
      </c>
      <c r="G291" s="1" t="s">
        <v>244</v>
      </c>
      <c r="H291" s="1" t="s">
        <v>245</v>
      </c>
      <c r="I291" s="1" t="s">
        <v>246</v>
      </c>
      <c r="J291" s="1">
        <v>1</v>
      </c>
      <c r="K291" s="1" t="s">
        <v>247</v>
      </c>
      <c r="L291" s="1">
        <v>0</v>
      </c>
      <c r="M291" s="1" t="s">
        <v>248</v>
      </c>
      <c r="N291" s="1" t="s">
        <v>218</v>
      </c>
      <c r="O291" s="21">
        <v>71</v>
      </c>
      <c r="P291" s="1" t="s">
        <v>249</v>
      </c>
    </row>
    <row r="292" spans="1:16" x14ac:dyDescent="0.2">
      <c r="A292" s="1" t="s">
        <v>170</v>
      </c>
      <c r="B292" s="1" t="s">
        <v>172</v>
      </c>
      <c r="C292" s="1">
        <v>2016</v>
      </c>
      <c r="D292" s="1">
        <v>2015</v>
      </c>
      <c r="E292" s="1">
        <v>2011</v>
      </c>
      <c r="F292" s="1" t="s">
        <v>173</v>
      </c>
      <c r="G292" s="1" t="s">
        <v>244</v>
      </c>
      <c r="H292" s="1" t="s">
        <v>245</v>
      </c>
      <c r="I292" s="1" t="s">
        <v>246</v>
      </c>
      <c r="J292" s="1">
        <v>1.5</v>
      </c>
      <c r="K292" s="1" t="s">
        <v>247</v>
      </c>
      <c r="L292" s="1">
        <v>0</v>
      </c>
      <c r="M292" s="1" t="s">
        <v>248</v>
      </c>
      <c r="N292" s="1" t="s">
        <v>218</v>
      </c>
      <c r="O292" s="21">
        <v>137</v>
      </c>
      <c r="P292" s="1" t="s">
        <v>249</v>
      </c>
    </row>
    <row r="293" spans="1:16" x14ac:dyDescent="0.2">
      <c r="A293" s="1" t="s">
        <v>170</v>
      </c>
      <c r="B293" s="1" t="s">
        <v>172</v>
      </c>
      <c r="C293" s="1">
        <v>2016</v>
      </c>
      <c r="D293" s="1">
        <v>2015</v>
      </c>
      <c r="E293" s="1">
        <v>2011</v>
      </c>
      <c r="F293" s="1" t="s">
        <v>173</v>
      </c>
      <c r="G293" s="1" t="s">
        <v>244</v>
      </c>
      <c r="H293" s="1" t="s">
        <v>245</v>
      </c>
      <c r="I293" s="1" t="s">
        <v>246</v>
      </c>
      <c r="J293" s="1">
        <v>2</v>
      </c>
      <c r="K293" s="1" t="s">
        <v>247</v>
      </c>
      <c r="L293" s="1">
        <v>0</v>
      </c>
      <c r="M293" s="1" t="s">
        <v>248</v>
      </c>
      <c r="N293" s="1" t="s">
        <v>218</v>
      </c>
      <c r="O293" s="21">
        <v>203</v>
      </c>
      <c r="P293" s="1" t="s">
        <v>249</v>
      </c>
    </row>
    <row r="294" spans="1:16" x14ac:dyDescent="0.2">
      <c r="A294" s="1" t="s">
        <v>170</v>
      </c>
      <c r="B294" s="1" t="s">
        <v>172</v>
      </c>
      <c r="C294" s="1">
        <v>2016</v>
      </c>
      <c r="D294" s="1">
        <v>2015</v>
      </c>
      <c r="E294" s="1">
        <v>2011</v>
      </c>
      <c r="F294" s="1" t="s">
        <v>173</v>
      </c>
      <c r="G294" s="1" t="s">
        <v>244</v>
      </c>
      <c r="H294" s="1" t="s">
        <v>245</v>
      </c>
      <c r="I294" s="1" t="s">
        <v>246</v>
      </c>
      <c r="J294" s="1">
        <v>3</v>
      </c>
      <c r="K294" s="1" t="s">
        <v>247</v>
      </c>
      <c r="L294" s="1">
        <v>0</v>
      </c>
      <c r="M294" s="1" t="s">
        <v>248</v>
      </c>
      <c r="N294" s="1" t="s">
        <v>218</v>
      </c>
      <c r="O294" s="21">
        <v>422</v>
      </c>
      <c r="P294" s="1" t="s">
        <v>249</v>
      </c>
    </row>
    <row r="295" spans="1:16" x14ac:dyDescent="0.2">
      <c r="A295" s="1" t="s">
        <v>170</v>
      </c>
      <c r="B295" s="1" t="s">
        <v>172</v>
      </c>
      <c r="C295" s="1">
        <v>2016</v>
      </c>
      <c r="D295" s="1">
        <v>2015</v>
      </c>
      <c r="E295" s="1">
        <v>2011</v>
      </c>
      <c r="F295" s="1" t="s">
        <v>173</v>
      </c>
      <c r="G295" s="1" t="s">
        <v>244</v>
      </c>
      <c r="H295" s="1" t="s">
        <v>245</v>
      </c>
      <c r="I295" s="1" t="s">
        <v>246</v>
      </c>
      <c r="J295" s="1">
        <v>4</v>
      </c>
      <c r="K295" s="1" t="s">
        <v>247</v>
      </c>
      <c r="L295" s="1">
        <v>0</v>
      </c>
      <c r="M295" s="1" t="s">
        <v>248</v>
      </c>
      <c r="N295" s="1" t="s">
        <v>218</v>
      </c>
      <c r="O295" s="21">
        <v>617</v>
      </c>
      <c r="P295" s="1" t="s">
        <v>249</v>
      </c>
    </row>
    <row r="296" spans="1:16" x14ac:dyDescent="0.2">
      <c r="A296" s="1" t="s">
        <v>170</v>
      </c>
      <c r="B296" s="1" t="s">
        <v>172</v>
      </c>
      <c r="C296" s="1">
        <v>2016</v>
      </c>
      <c r="D296" s="1">
        <v>2015</v>
      </c>
      <c r="E296" s="1">
        <v>2011</v>
      </c>
      <c r="F296" s="1" t="s">
        <v>173</v>
      </c>
      <c r="G296" s="1" t="s">
        <v>244</v>
      </c>
      <c r="H296" s="1" t="s">
        <v>245</v>
      </c>
      <c r="I296" s="1" t="s">
        <v>246</v>
      </c>
      <c r="J296" s="1">
        <v>6</v>
      </c>
      <c r="K296" s="1" t="s">
        <v>247</v>
      </c>
      <c r="L296" s="1">
        <v>0</v>
      </c>
      <c r="M296" s="1" t="s">
        <v>248</v>
      </c>
      <c r="N296" s="1" t="s">
        <v>218</v>
      </c>
      <c r="O296" s="21">
        <v>1155</v>
      </c>
      <c r="P296" s="1" t="s">
        <v>249</v>
      </c>
    </row>
    <row r="297" spans="1:16" x14ac:dyDescent="0.2">
      <c r="A297" s="1" t="s">
        <v>170</v>
      </c>
      <c r="B297" s="1" t="s">
        <v>172</v>
      </c>
      <c r="C297" s="1">
        <v>2016</v>
      </c>
      <c r="D297" s="1">
        <v>2015</v>
      </c>
      <c r="E297" s="1">
        <v>2011</v>
      </c>
      <c r="F297" s="1" t="s">
        <v>173</v>
      </c>
      <c r="G297" s="1" t="s">
        <v>244</v>
      </c>
      <c r="H297" s="1" t="s">
        <v>245</v>
      </c>
      <c r="I297" s="1" t="s">
        <v>246</v>
      </c>
      <c r="J297" s="1">
        <v>8</v>
      </c>
      <c r="K297" s="1" t="s">
        <v>247</v>
      </c>
      <c r="L297" s="1">
        <v>0</v>
      </c>
      <c r="M297" s="1" t="s">
        <v>248</v>
      </c>
      <c r="N297" s="1" t="s">
        <v>218</v>
      </c>
      <c r="O297" s="21">
        <v>1793</v>
      </c>
      <c r="P297" s="1" t="s">
        <v>249</v>
      </c>
    </row>
    <row r="298" spans="1:16" x14ac:dyDescent="0.2">
      <c r="A298" s="1" t="s">
        <v>170</v>
      </c>
      <c r="B298" s="1" t="s">
        <v>172</v>
      </c>
      <c r="C298" s="1">
        <v>2016</v>
      </c>
      <c r="D298" s="1">
        <v>2015</v>
      </c>
      <c r="E298" s="1">
        <v>2011</v>
      </c>
      <c r="F298" s="1" t="s">
        <v>173</v>
      </c>
      <c r="G298" s="1" t="s">
        <v>244</v>
      </c>
      <c r="H298" s="1" t="s">
        <v>245</v>
      </c>
      <c r="I298" s="1" t="s">
        <v>246</v>
      </c>
      <c r="J298" s="1">
        <v>10</v>
      </c>
      <c r="K298" s="1" t="s">
        <v>247</v>
      </c>
      <c r="L298" s="1">
        <v>0</v>
      </c>
      <c r="M298" s="1" t="s">
        <v>248</v>
      </c>
      <c r="N298" s="1" t="s">
        <v>218</v>
      </c>
      <c r="O298" s="21">
        <v>2187</v>
      </c>
      <c r="P298" s="1" t="s">
        <v>249</v>
      </c>
    </row>
    <row r="299" spans="1:16" x14ac:dyDescent="0.2">
      <c r="A299" s="1" t="s">
        <v>170</v>
      </c>
      <c r="B299" s="1" t="s">
        <v>172</v>
      </c>
      <c r="C299" s="1">
        <v>2016</v>
      </c>
      <c r="D299" s="1">
        <v>2015</v>
      </c>
      <c r="E299" s="1">
        <v>2011</v>
      </c>
      <c r="F299" s="1" t="s">
        <v>173</v>
      </c>
      <c r="G299" s="1" t="s">
        <v>244</v>
      </c>
      <c r="H299" s="1" t="s">
        <v>250</v>
      </c>
      <c r="I299" s="1" t="s">
        <v>176</v>
      </c>
      <c r="J299" s="1" t="s">
        <v>176</v>
      </c>
      <c r="K299" s="1" t="s">
        <v>252</v>
      </c>
      <c r="L299" s="1" t="s">
        <v>176</v>
      </c>
      <c r="M299" s="1" t="s">
        <v>176</v>
      </c>
      <c r="N299" s="1" t="s">
        <v>176</v>
      </c>
      <c r="O299" s="21">
        <v>2.78</v>
      </c>
      <c r="P299" s="1" t="s">
        <v>254</v>
      </c>
    </row>
    <row r="300" spans="1:16" x14ac:dyDescent="0.2">
      <c r="A300" s="1" t="s">
        <v>170</v>
      </c>
      <c r="B300" s="1" t="s">
        <v>172</v>
      </c>
      <c r="C300" s="1">
        <v>2016</v>
      </c>
      <c r="D300" s="1">
        <v>2015</v>
      </c>
      <c r="E300" s="1">
        <v>2011</v>
      </c>
      <c r="F300" s="1" t="s">
        <v>173</v>
      </c>
      <c r="G300" s="1" t="s">
        <v>255</v>
      </c>
      <c r="H300" s="1" t="s">
        <v>245</v>
      </c>
      <c r="I300" s="1" t="s">
        <v>256</v>
      </c>
      <c r="J300" s="1" t="s">
        <v>229</v>
      </c>
      <c r="K300" s="1" t="s">
        <v>258</v>
      </c>
      <c r="L300" s="1" t="s">
        <v>176</v>
      </c>
      <c r="M300" s="1" t="s">
        <v>176</v>
      </c>
      <c r="N300" s="1" t="s">
        <v>176</v>
      </c>
      <c r="O300" s="21">
        <v>164</v>
      </c>
      <c r="P300" s="1" t="s">
        <v>259</v>
      </c>
    </row>
    <row r="301" spans="1:16" x14ac:dyDescent="0.2">
      <c r="A301" s="1" t="s">
        <v>170</v>
      </c>
      <c r="B301" s="1" t="s">
        <v>172</v>
      </c>
      <c r="C301" s="1">
        <v>2016</v>
      </c>
      <c r="D301" s="1">
        <v>2015</v>
      </c>
      <c r="E301" s="1">
        <v>2011</v>
      </c>
      <c r="F301" s="1" t="s">
        <v>173</v>
      </c>
      <c r="G301" s="1" t="s">
        <v>255</v>
      </c>
      <c r="H301" s="1" t="s">
        <v>245</v>
      </c>
      <c r="I301" s="1" t="s">
        <v>256</v>
      </c>
      <c r="J301" s="1" t="s">
        <v>257</v>
      </c>
      <c r="K301" s="1" t="s">
        <v>258</v>
      </c>
      <c r="L301" s="1" t="s">
        <v>176</v>
      </c>
      <c r="M301" s="1" t="s">
        <v>176</v>
      </c>
      <c r="N301" s="1" t="s">
        <v>176</v>
      </c>
      <c r="O301" s="21">
        <v>164</v>
      </c>
      <c r="P301" s="1" t="s">
        <v>259</v>
      </c>
    </row>
    <row r="302" spans="1:16" x14ac:dyDescent="0.2">
      <c r="A302" s="1" t="s">
        <v>170</v>
      </c>
      <c r="B302" s="1" t="s">
        <v>172</v>
      </c>
      <c r="C302" s="1">
        <v>2016</v>
      </c>
      <c r="D302" s="1">
        <v>2015</v>
      </c>
      <c r="E302" s="1">
        <v>2011</v>
      </c>
      <c r="F302" s="1" t="s">
        <v>173</v>
      </c>
      <c r="G302" s="1" t="s">
        <v>255</v>
      </c>
      <c r="H302" s="1" t="s">
        <v>260</v>
      </c>
      <c r="I302" s="1" t="s">
        <v>261</v>
      </c>
      <c r="J302" s="1">
        <v>0.625</v>
      </c>
      <c r="K302" s="1" t="s">
        <v>247</v>
      </c>
      <c r="L302" s="1" t="s">
        <v>176</v>
      </c>
      <c r="M302" s="1" t="s">
        <v>176</v>
      </c>
      <c r="N302" s="1" t="s">
        <v>176</v>
      </c>
      <c r="O302" s="21">
        <v>77.58</v>
      </c>
      <c r="P302" s="1" t="s">
        <v>262</v>
      </c>
    </row>
    <row r="303" spans="1:16" x14ac:dyDescent="0.2">
      <c r="A303" s="1" t="s">
        <v>170</v>
      </c>
      <c r="B303" s="1" t="s">
        <v>172</v>
      </c>
      <c r="C303" s="1">
        <v>2016</v>
      </c>
      <c r="D303" s="1">
        <v>2015</v>
      </c>
      <c r="E303" s="1">
        <v>2011</v>
      </c>
      <c r="F303" s="1" t="s">
        <v>173</v>
      </c>
      <c r="G303" s="1" t="s">
        <v>255</v>
      </c>
      <c r="H303" s="1" t="s">
        <v>260</v>
      </c>
      <c r="I303" s="1" t="s">
        <v>261</v>
      </c>
      <c r="J303" s="1">
        <v>0.75</v>
      </c>
      <c r="K303" s="1" t="s">
        <v>247</v>
      </c>
      <c r="L303" s="1" t="s">
        <v>176</v>
      </c>
      <c r="M303" s="1" t="s">
        <v>176</v>
      </c>
      <c r="N303" s="1" t="s">
        <v>176</v>
      </c>
      <c r="O303" s="21">
        <v>77.58</v>
      </c>
      <c r="P303" s="1" t="s">
        <v>262</v>
      </c>
    </row>
    <row r="304" spans="1:16" x14ac:dyDescent="0.2">
      <c r="A304" s="1" t="s">
        <v>170</v>
      </c>
      <c r="B304" s="1" t="s">
        <v>172</v>
      </c>
      <c r="C304" s="1">
        <v>2016</v>
      </c>
      <c r="D304" s="1">
        <v>2015</v>
      </c>
      <c r="E304" s="1">
        <v>2011</v>
      </c>
      <c r="F304" s="1" t="s">
        <v>173</v>
      </c>
      <c r="G304" s="1" t="s">
        <v>255</v>
      </c>
      <c r="H304" s="1" t="s">
        <v>260</v>
      </c>
      <c r="I304" s="1" t="s">
        <v>261</v>
      </c>
      <c r="J304" s="1">
        <v>1</v>
      </c>
      <c r="K304" s="1" t="s">
        <v>247</v>
      </c>
      <c r="L304" s="1" t="s">
        <v>176</v>
      </c>
      <c r="M304" s="1" t="s">
        <v>176</v>
      </c>
      <c r="N304" s="1" t="s">
        <v>176</v>
      </c>
      <c r="O304" s="21">
        <v>154.31</v>
      </c>
      <c r="P304" s="1" t="s">
        <v>262</v>
      </c>
    </row>
    <row r="305" spans="1:16" x14ac:dyDescent="0.2">
      <c r="A305" s="1" t="s">
        <v>170</v>
      </c>
      <c r="B305" s="1" t="s">
        <v>172</v>
      </c>
      <c r="C305" s="1">
        <v>2016</v>
      </c>
      <c r="D305" s="1">
        <v>2015</v>
      </c>
      <c r="E305" s="1">
        <v>2011</v>
      </c>
      <c r="F305" s="1" t="s">
        <v>173</v>
      </c>
      <c r="G305" s="1" t="s">
        <v>255</v>
      </c>
      <c r="H305" s="1" t="s">
        <v>260</v>
      </c>
      <c r="I305" s="1" t="s">
        <v>261</v>
      </c>
      <c r="J305" s="1">
        <v>1.5</v>
      </c>
      <c r="K305" s="1" t="s">
        <v>247</v>
      </c>
      <c r="L305" s="1" t="s">
        <v>176</v>
      </c>
      <c r="M305" s="1" t="s">
        <v>176</v>
      </c>
      <c r="N305" s="1" t="s">
        <v>176</v>
      </c>
      <c r="O305" s="21">
        <v>300</v>
      </c>
      <c r="P305" s="1" t="s">
        <v>262</v>
      </c>
    </row>
    <row r="306" spans="1:16" x14ac:dyDescent="0.2">
      <c r="A306" s="1" t="s">
        <v>170</v>
      </c>
      <c r="B306" s="1" t="s">
        <v>172</v>
      </c>
      <c r="C306" s="1">
        <v>2016</v>
      </c>
      <c r="D306" s="1">
        <v>2015</v>
      </c>
      <c r="E306" s="1">
        <v>2011</v>
      </c>
      <c r="F306" s="1" t="s">
        <v>173</v>
      </c>
      <c r="G306" s="1" t="s">
        <v>255</v>
      </c>
      <c r="H306" s="1" t="s">
        <v>260</v>
      </c>
      <c r="I306" s="1" t="s">
        <v>261</v>
      </c>
      <c r="J306" s="1">
        <v>2</v>
      </c>
      <c r="K306" s="1" t="s">
        <v>247</v>
      </c>
      <c r="L306" s="1" t="s">
        <v>176</v>
      </c>
      <c r="M306" s="1" t="s">
        <v>176</v>
      </c>
      <c r="N306" s="1" t="s">
        <v>176</v>
      </c>
      <c r="O306" s="21">
        <v>338.54</v>
      </c>
      <c r="P306" s="1" t="s">
        <v>262</v>
      </c>
    </row>
    <row r="307" spans="1:16" x14ac:dyDescent="0.2">
      <c r="A307" s="1" t="s">
        <v>170</v>
      </c>
      <c r="B307" s="1" t="s">
        <v>172</v>
      </c>
      <c r="C307" s="1">
        <v>2016</v>
      </c>
      <c r="D307" s="1">
        <v>2015</v>
      </c>
      <c r="E307" s="1">
        <v>2011</v>
      </c>
      <c r="F307" s="1" t="s">
        <v>173</v>
      </c>
      <c r="G307" s="1" t="s">
        <v>255</v>
      </c>
      <c r="H307" s="1" t="s">
        <v>260</v>
      </c>
      <c r="I307" s="1" t="s">
        <v>261</v>
      </c>
      <c r="J307" s="1">
        <v>3</v>
      </c>
      <c r="K307" s="1" t="s">
        <v>247</v>
      </c>
      <c r="L307" s="1" t="s">
        <v>176</v>
      </c>
      <c r="M307" s="1" t="s">
        <v>176</v>
      </c>
      <c r="N307" s="1" t="s">
        <v>176</v>
      </c>
      <c r="O307" s="21">
        <v>579.37</v>
      </c>
      <c r="P307" s="1" t="s">
        <v>262</v>
      </c>
    </row>
    <row r="308" spans="1:16" x14ac:dyDescent="0.2">
      <c r="A308" s="1" t="s">
        <v>170</v>
      </c>
      <c r="B308" s="1" t="s">
        <v>172</v>
      </c>
      <c r="C308" s="1">
        <v>2016</v>
      </c>
      <c r="D308" s="1">
        <v>2015</v>
      </c>
      <c r="E308" s="1">
        <v>2011</v>
      </c>
      <c r="F308" s="1" t="s">
        <v>173</v>
      </c>
      <c r="G308" s="1" t="s">
        <v>255</v>
      </c>
      <c r="H308" s="1" t="s">
        <v>260</v>
      </c>
      <c r="I308" s="1" t="s">
        <v>261</v>
      </c>
      <c r="J308" s="1">
        <v>4</v>
      </c>
      <c r="K308" s="1" t="s">
        <v>247</v>
      </c>
      <c r="L308" s="1" t="s">
        <v>176</v>
      </c>
      <c r="M308" s="1" t="s">
        <v>176</v>
      </c>
      <c r="N308" s="1" t="s">
        <v>176</v>
      </c>
      <c r="O308" s="21">
        <v>772.63</v>
      </c>
      <c r="P308" s="1" t="s">
        <v>262</v>
      </c>
    </row>
    <row r="309" spans="1:16" x14ac:dyDescent="0.2">
      <c r="A309" s="1" t="s">
        <v>170</v>
      </c>
      <c r="B309" s="1" t="s">
        <v>172</v>
      </c>
      <c r="C309" s="1">
        <v>2016</v>
      </c>
      <c r="D309" s="1">
        <v>2015</v>
      </c>
      <c r="E309" s="1">
        <v>2011</v>
      </c>
      <c r="F309" s="1" t="s">
        <v>173</v>
      </c>
      <c r="G309" s="1" t="s">
        <v>255</v>
      </c>
      <c r="H309" s="1" t="s">
        <v>260</v>
      </c>
      <c r="I309" s="1" t="s">
        <v>261</v>
      </c>
      <c r="J309" s="1">
        <v>6</v>
      </c>
      <c r="K309" s="1" t="s">
        <v>247</v>
      </c>
      <c r="L309" s="1" t="s">
        <v>176</v>
      </c>
      <c r="M309" s="1" t="s">
        <v>176</v>
      </c>
      <c r="N309" s="1" t="s">
        <v>176</v>
      </c>
      <c r="O309" s="21">
        <v>1182.3</v>
      </c>
      <c r="P309" s="1" t="s">
        <v>262</v>
      </c>
    </row>
    <row r="310" spans="1:16" x14ac:dyDescent="0.2">
      <c r="A310" s="1" t="s">
        <v>170</v>
      </c>
      <c r="B310" s="1" t="s">
        <v>172</v>
      </c>
      <c r="C310" s="1">
        <v>2016</v>
      </c>
      <c r="D310" s="1">
        <v>2015</v>
      </c>
      <c r="E310" s="1">
        <v>2011</v>
      </c>
      <c r="F310" s="1" t="s">
        <v>173</v>
      </c>
      <c r="G310" s="1" t="s">
        <v>255</v>
      </c>
      <c r="H310" s="1" t="s">
        <v>260</v>
      </c>
      <c r="I310" s="1" t="s">
        <v>261</v>
      </c>
      <c r="J310" s="1">
        <v>8</v>
      </c>
      <c r="K310" s="1" t="s">
        <v>247</v>
      </c>
      <c r="L310" s="1" t="s">
        <v>176</v>
      </c>
      <c r="M310" s="1" t="s">
        <v>176</v>
      </c>
      <c r="N310" s="1" t="s">
        <v>176</v>
      </c>
      <c r="O310" s="21">
        <v>1598.64</v>
      </c>
      <c r="P310" s="1" t="s">
        <v>262</v>
      </c>
    </row>
    <row r="311" spans="1:16" x14ac:dyDescent="0.2">
      <c r="A311" s="1" t="s">
        <v>170</v>
      </c>
      <c r="B311" s="1" t="s">
        <v>172</v>
      </c>
      <c r="C311" s="1">
        <v>2016</v>
      </c>
      <c r="D311" s="1">
        <v>2015</v>
      </c>
      <c r="E311" s="1">
        <v>2011</v>
      </c>
      <c r="F311" s="1" t="s">
        <v>173</v>
      </c>
      <c r="G311" s="1" t="s">
        <v>244</v>
      </c>
      <c r="H311" s="1" t="s">
        <v>505</v>
      </c>
      <c r="I311" s="1" t="s">
        <v>496</v>
      </c>
      <c r="J311" s="1" t="s">
        <v>176</v>
      </c>
      <c r="K311" s="1" t="s">
        <v>176</v>
      </c>
      <c r="L311" s="1" t="s">
        <v>176</v>
      </c>
      <c r="M311" s="1" t="s">
        <v>176</v>
      </c>
      <c r="N311" s="1" t="s">
        <v>176</v>
      </c>
      <c r="O311" s="21">
        <v>3.6</v>
      </c>
      <c r="P311" s="1" t="s">
        <v>495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K59"/>
  <sheetViews>
    <sheetView workbookViewId="0">
      <pane xSplit="4" ySplit="2" topLeftCell="AY34" activePane="bottomRight" state="frozen"/>
      <selection pane="topRight" activeCell="E1" sqref="E1"/>
      <selection pane="bottomLeft" activeCell="A3" sqref="A3"/>
      <selection pane="bottomRight" activeCell="D31" sqref="D31"/>
    </sheetView>
  </sheetViews>
  <sheetFormatPr baseColWidth="10" defaultColWidth="8.83203125" defaultRowHeight="15" x14ac:dyDescent="0.2"/>
  <cols>
    <col min="1" max="3" width="8.83203125" style="1"/>
    <col min="4" max="4" width="31.1640625" style="1" customWidth="1"/>
    <col min="5" max="8" width="13.1640625" style="13" bestFit="1" customWidth="1"/>
    <col min="9" max="9" width="10.6640625" style="13" customWidth="1"/>
    <col min="10" max="11" width="10.6640625" style="13" hidden="1" customWidth="1"/>
    <col min="12" max="12" width="12.1640625" style="13" hidden="1" customWidth="1"/>
    <col min="13" max="13" width="10.5" style="13" bestFit="1" customWidth="1"/>
    <col min="14" max="14" width="12.5" style="13" hidden="1" customWidth="1"/>
    <col min="15" max="15" width="10.5" style="13" bestFit="1" customWidth="1"/>
    <col min="16" max="16" width="11.1640625" style="13" hidden="1" customWidth="1"/>
    <col min="17" max="17" width="10.5" style="13" bestFit="1" customWidth="1"/>
    <col min="18" max="18" width="11.1640625" style="13" hidden="1" customWidth="1"/>
    <col min="19" max="19" width="10.5" style="13" bestFit="1" customWidth="1"/>
    <col min="20" max="20" width="11.1640625" style="13" hidden="1" customWidth="1"/>
    <col min="21" max="21" width="11.5" style="13" bestFit="1" customWidth="1"/>
    <col min="22" max="22" width="11.1640625" style="13" hidden="1" customWidth="1"/>
    <col min="23" max="23" width="11.1640625" style="13" customWidth="1"/>
    <col min="24" max="25" width="10.5" style="13" bestFit="1" customWidth="1"/>
    <col min="26" max="26" width="9" style="13" bestFit="1" customWidth="1"/>
    <col min="27" max="29" width="10.5" style="13" bestFit="1" customWidth="1"/>
    <col min="30" max="30" width="11" style="13" hidden="1" customWidth="1"/>
    <col min="31" max="31" width="10.5" style="13" bestFit="1" customWidth="1"/>
    <col min="32" max="32" width="11.5" style="13" hidden="1" customWidth="1"/>
    <col min="33" max="33" width="10.5" style="13" bestFit="1" customWidth="1"/>
    <col min="34" max="47" width="11.1640625" style="13" hidden="1" customWidth="1"/>
    <col min="48" max="48" width="11.1640625" style="13" customWidth="1"/>
    <col min="49" max="51" width="11.5" style="13" bestFit="1" customWidth="1"/>
    <col min="52" max="52" width="11.6640625" style="13" customWidth="1"/>
    <col min="53" max="54" width="13.83203125" style="13" customWidth="1"/>
    <col min="55" max="55" width="12.5" style="13" bestFit="1" customWidth="1"/>
    <col min="56" max="56" width="13.5" style="13" customWidth="1"/>
    <col min="57" max="57" width="13.1640625" style="13" bestFit="1" customWidth="1"/>
    <col min="58" max="59" width="12.5" style="13" bestFit="1" customWidth="1"/>
    <col min="60" max="62" width="9" style="25" bestFit="1" customWidth="1"/>
    <col min="63" max="16384" width="8.83203125" style="1"/>
  </cols>
  <sheetData>
    <row r="1" spans="1:62" x14ac:dyDescent="0.2">
      <c r="E1" s="13" t="s">
        <v>352</v>
      </c>
      <c r="H1" s="10"/>
      <c r="I1" s="11" t="s">
        <v>33</v>
      </c>
      <c r="J1" s="11"/>
      <c r="K1" s="11"/>
      <c r="L1" s="12"/>
      <c r="M1" s="12"/>
      <c r="N1" s="12"/>
      <c r="O1" s="12"/>
      <c r="P1" s="12"/>
      <c r="Q1" s="12"/>
      <c r="R1" s="12"/>
      <c r="S1" s="12"/>
      <c r="T1" s="12"/>
      <c r="U1" s="12"/>
      <c r="V1" s="10"/>
      <c r="W1" s="10"/>
      <c r="X1" s="10"/>
      <c r="Y1" s="10"/>
      <c r="Z1" s="10"/>
      <c r="AZ1" s="14" t="s">
        <v>34</v>
      </c>
      <c r="BD1" s="14" t="s">
        <v>35</v>
      </c>
    </row>
    <row r="2" spans="1:62" x14ac:dyDescent="0.2">
      <c r="A2" s="2" t="s">
        <v>0</v>
      </c>
      <c r="B2" s="2" t="s">
        <v>1</v>
      </c>
      <c r="C2" s="2" t="s">
        <v>36</v>
      </c>
      <c r="D2" s="2" t="s">
        <v>37</v>
      </c>
      <c r="E2" s="5" t="s">
        <v>353</v>
      </c>
      <c r="F2" s="5" t="s">
        <v>354</v>
      </c>
      <c r="G2" s="5" t="s">
        <v>355</v>
      </c>
      <c r="H2" s="5" t="s">
        <v>356</v>
      </c>
      <c r="I2" s="5" t="s">
        <v>357</v>
      </c>
      <c r="J2" s="5" t="s">
        <v>358</v>
      </c>
      <c r="K2" s="5" t="s">
        <v>359</v>
      </c>
      <c r="L2" s="5" t="s">
        <v>360</v>
      </c>
      <c r="M2" s="5" t="s">
        <v>389</v>
      </c>
      <c r="N2" s="5" t="s">
        <v>413</v>
      </c>
      <c r="O2" s="5" t="s">
        <v>390</v>
      </c>
      <c r="P2" s="5" t="s">
        <v>414</v>
      </c>
      <c r="Q2" s="5" t="s">
        <v>391</v>
      </c>
      <c r="R2" s="5" t="s">
        <v>415</v>
      </c>
      <c r="S2" s="5" t="s">
        <v>392</v>
      </c>
      <c r="T2" s="5" t="s">
        <v>416</v>
      </c>
      <c r="U2" s="5" t="s">
        <v>393</v>
      </c>
      <c r="V2" s="5" t="s">
        <v>417</v>
      </c>
      <c r="W2" s="5" t="s">
        <v>441</v>
      </c>
      <c r="X2" s="5" t="s">
        <v>437</v>
      </c>
      <c r="Y2" s="5" t="s">
        <v>438</v>
      </c>
      <c r="Z2" s="5" t="s">
        <v>44</v>
      </c>
      <c r="AA2" s="5" t="s">
        <v>467</v>
      </c>
      <c r="AB2" s="5" t="s">
        <v>468</v>
      </c>
      <c r="AC2" s="5" t="s">
        <v>469</v>
      </c>
      <c r="AD2" s="5" t="s">
        <v>530</v>
      </c>
      <c r="AE2" s="5" t="s">
        <v>470</v>
      </c>
      <c r="AF2" s="5" t="s">
        <v>475</v>
      </c>
      <c r="AG2" s="5" t="s">
        <v>508</v>
      </c>
      <c r="AH2" s="5" t="s">
        <v>527</v>
      </c>
      <c r="AI2" s="5" t="s">
        <v>560</v>
      </c>
      <c r="AJ2" s="5" t="s">
        <v>561</v>
      </c>
      <c r="AK2" s="5" t="s">
        <v>636</v>
      </c>
      <c r="AL2" s="5" t="s">
        <v>637</v>
      </c>
      <c r="AM2" s="5" t="s">
        <v>595</v>
      </c>
      <c r="AN2" s="5" t="s">
        <v>638</v>
      </c>
      <c r="AO2" s="5" t="s">
        <v>639</v>
      </c>
      <c r="AP2" s="5" t="s">
        <v>640</v>
      </c>
      <c r="AQ2" s="5" t="s">
        <v>691</v>
      </c>
      <c r="AR2" s="5" t="s">
        <v>692</v>
      </c>
      <c r="AS2" s="5" t="s">
        <v>693</v>
      </c>
      <c r="AT2" s="5" t="s">
        <v>694</v>
      </c>
      <c r="AU2" s="5" t="s">
        <v>701</v>
      </c>
      <c r="AV2" s="5" t="s">
        <v>589</v>
      </c>
      <c r="AW2" s="5" t="s">
        <v>562</v>
      </c>
      <c r="AX2" s="5" t="s">
        <v>590</v>
      </c>
      <c r="AY2" s="5" t="s">
        <v>591</v>
      </c>
      <c r="AZ2" s="5" t="s">
        <v>592</v>
      </c>
      <c r="BA2" s="5" t="s">
        <v>675</v>
      </c>
      <c r="BB2" s="5" t="s">
        <v>656</v>
      </c>
      <c r="BC2" s="5" t="s">
        <v>676</v>
      </c>
      <c r="BD2" s="5" t="s">
        <v>715</v>
      </c>
      <c r="BE2" s="5" t="s">
        <v>716</v>
      </c>
      <c r="BF2" s="5" t="s">
        <v>717</v>
      </c>
      <c r="BG2" s="5" t="s">
        <v>707</v>
      </c>
      <c r="BH2" s="26" t="s">
        <v>56</v>
      </c>
      <c r="BI2" s="26" t="s">
        <v>57</v>
      </c>
      <c r="BJ2" s="26" t="s">
        <v>71</v>
      </c>
    </row>
    <row r="3" spans="1:62" x14ac:dyDescent="0.2">
      <c r="A3" s="1" t="s">
        <v>170</v>
      </c>
      <c r="B3" s="1" t="s">
        <v>172</v>
      </c>
      <c r="C3" s="1" t="s">
        <v>58</v>
      </c>
      <c r="D3" s="1" t="s">
        <v>266</v>
      </c>
      <c r="E3" s="13">
        <v>1086041</v>
      </c>
      <c r="F3" s="13">
        <v>1351371</v>
      </c>
      <c r="G3" s="13">
        <v>1432878</v>
      </c>
      <c r="H3" s="10">
        <v>1446282</v>
      </c>
      <c r="I3" s="10">
        <v>1518027</v>
      </c>
      <c r="J3" s="10">
        <v>1197259</v>
      </c>
      <c r="K3" s="10">
        <v>1593795</v>
      </c>
      <c r="L3" s="10">
        <v>1982386</v>
      </c>
      <c r="M3" s="10">
        <v>1578692</v>
      </c>
      <c r="N3" s="10">
        <v>1764981</v>
      </c>
      <c r="O3" s="10">
        <v>1877621</v>
      </c>
      <c r="P3" s="10">
        <v>2286016</v>
      </c>
      <c r="Q3" s="10">
        <v>1867832</v>
      </c>
      <c r="R3" s="10">
        <v>2337636</v>
      </c>
      <c r="S3" s="10">
        <v>2272833</v>
      </c>
      <c r="T3" s="10">
        <v>3166213</v>
      </c>
      <c r="U3" s="10">
        <v>2121062</v>
      </c>
      <c r="V3" s="10">
        <v>4385150</v>
      </c>
      <c r="W3" s="10">
        <v>2970788</v>
      </c>
      <c r="X3" s="10">
        <v>3038715</v>
      </c>
      <c r="Y3" s="10">
        <v>3325320</v>
      </c>
      <c r="Z3" s="10"/>
      <c r="AA3" s="13">
        <v>4158058</v>
      </c>
      <c r="AB3" s="13">
        <v>4345218</v>
      </c>
      <c r="AC3" s="13">
        <v>4129052</v>
      </c>
      <c r="AD3" s="13">
        <v>4390863</v>
      </c>
      <c r="AE3" s="13">
        <v>3681708</v>
      </c>
      <c r="AF3" s="13">
        <v>4742404</v>
      </c>
      <c r="AG3" s="13">
        <v>3745250</v>
      </c>
      <c r="AH3" s="13">
        <v>5397427</v>
      </c>
      <c r="AI3" s="13">
        <v>5865318</v>
      </c>
      <c r="AJ3" s="13">
        <v>6398386</v>
      </c>
      <c r="AK3" s="13">
        <v>8649719</v>
      </c>
      <c r="AL3" s="13">
        <v>7972010</v>
      </c>
      <c r="AM3" s="13">
        <v>7988851</v>
      </c>
      <c r="AN3" s="13">
        <v>8319196</v>
      </c>
      <c r="AO3" s="13">
        <v>8437390</v>
      </c>
      <c r="AP3" s="13">
        <v>8023184</v>
      </c>
      <c r="AQ3" s="13">
        <v>9485498</v>
      </c>
      <c r="AR3" s="13">
        <v>8373751</v>
      </c>
      <c r="AS3" s="13">
        <v>9113000</v>
      </c>
      <c r="AT3" s="13">
        <v>9129584</v>
      </c>
      <c r="AU3" s="13">
        <v>9138157</v>
      </c>
      <c r="AV3" s="13">
        <v>4197246</v>
      </c>
      <c r="AW3" s="13">
        <v>4827750</v>
      </c>
      <c r="AX3" s="13">
        <v>4898116</v>
      </c>
      <c r="AY3" s="13">
        <v>4854682</v>
      </c>
      <c r="AZ3" s="13">
        <v>5077978</v>
      </c>
      <c r="BA3" s="13">
        <v>4911678</v>
      </c>
      <c r="BB3" s="13">
        <v>5832062</v>
      </c>
      <c r="BC3" s="13">
        <v>6057086</v>
      </c>
      <c r="BD3" s="13">
        <v>6131528</v>
      </c>
      <c r="BE3" s="13">
        <v>6147096</v>
      </c>
      <c r="BF3" s="13">
        <v>6020959</v>
      </c>
      <c r="BG3" s="13">
        <v>6075684</v>
      </c>
    </row>
    <row r="4" spans="1:62" x14ac:dyDescent="0.2">
      <c r="A4" s="1" t="s">
        <v>170</v>
      </c>
      <c r="B4" s="1" t="s">
        <v>172</v>
      </c>
      <c r="C4" s="1" t="s">
        <v>58</v>
      </c>
      <c r="D4" s="1" t="s">
        <v>215</v>
      </c>
      <c r="E4" s="10" t="s">
        <v>176</v>
      </c>
      <c r="F4" s="10" t="s">
        <v>176</v>
      </c>
      <c r="G4" s="10" t="s">
        <v>176</v>
      </c>
      <c r="H4" s="10" t="s">
        <v>176</v>
      </c>
      <c r="I4" s="10">
        <f>INT(I3*0.59)</f>
        <v>895635</v>
      </c>
      <c r="J4" s="10" t="s">
        <v>176</v>
      </c>
      <c r="K4" s="10" t="s">
        <v>176</v>
      </c>
      <c r="L4" s="10" t="s">
        <v>176</v>
      </c>
      <c r="M4" s="10" t="s">
        <v>176</v>
      </c>
      <c r="N4" s="10" t="s">
        <v>176</v>
      </c>
      <c r="O4" s="10" t="s">
        <v>176</v>
      </c>
      <c r="P4" s="10" t="s">
        <v>176</v>
      </c>
      <c r="Q4" s="10" t="s">
        <v>176</v>
      </c>
      <c r="R4" s="10" t="s">
        <v>176</v>
      </c>
      <c r="S4" s="10" t="s">
        <v>176</v>
      </c>
      <c r="T4" s="10" t="s">
        <v>176</v>
      </c>
      <c r="U4" s="10">
        <f>INT(U3*0.63)</f>
        <v>1336269</v>
      </c>
      <c r="V4" s="10" t="s">
        <v>176</v>
      </c>
      <c r="W4" s="10" t="s">
        <v>176</v>
      </c>
      <c r="X4" s="10" t="s">
        <v>176</v>
      </c>
      <c r="Y4" s="10">
        <f>INT(Y3*0.61)</f>
        <v>2028445</v>
      </c>
      <c r="Z4" s="10"/>
      <c r="AA4" s="10" t="s">
        <v>176</v>
      </c>
      <c r="AB4" s="10" t="s">
        <v>176</v>
      </c>
      <c r="AC4" s="10" t="s">
        <v>176</v>
      </c>
      <c r="AD4" s="10" t="s">
        <v>176</v>
      </c>
      <c r="AE4" s="10">
        <f>INT(AE3*0.67)</f>
        <v>2466744</v>
      </c>
      <c r="AF4" s="10" t="s">
        <v>176</v>
      </c>
      <c r="AG4" s="10" t="s">
        <v>176</v>
      </c>
      <c r="AH4" s="10" t="s">
        <v>176</v>
      </c>
      <c r="AI4" s="10" t="s">
        <v>176</v>
      </c>
      <c r="AJ4" s="10" t="s">
        <v>176</v>
      </c>
      <c r="AK4" s="10" t="s">
        <v>176</v>
      </c>
      <c r="AL4" s="10" t="s">
        <v>176</v>
      </c>
      <c r="AM4" s="10" t="s">
        <v>176</v>
      </c>
      <c r="AN4" s="10" t="s">
        <v>176</v>
      </c>
      <c r="AO4" s="10" t="s">
        <v>176</v>
      </c>
      <c r="AP4" s="10">
        <f>ROUND(AP$3*0.8548,0)</f>
        <v>6858218</v>
      </c>
      <c r="AQ4" s="10" t="s">
        <v>176</v>
      </c>
      <c r="AR4" s="10" t="s">
        <v>176</v>
      </c>
      <c r="AS4" s="10" t="s">
        <v>176</v>
      </c>
      <c r="AT4" s="10" t="s">
        <v>176</v>
      </c>
      <c r="AU4" s="10" t="s">
        <v>176</v>
      </c>
      <c r="AV4" s="10" t="s">
        <v>176</v>
      </c>
      <c r="AW4" s="10" t="s">
        <v>176</v>
      </c>
      <c r="AX4" s="10" t="s">
        <v>176</v>
      </c>
      <c r="AY4" s="10" t="s">
        <v>176</v>
      </c>
      <c r="AZ4" s="10" t="s">
        <v>176</v>
      </c>
      <c r="BA4" s="10" t="s">
        <v>176</v>
      </c>
      <c r="BB4" s="10" t="s">
        <v>176</v>
      </c>
      <c r="BC4" s="10">
        <f>ROUND(BC$3*0.76,0)</f>
        <v>4603385</v>
      </c>
      <c r="BD4" s="10" t="s">
        <v>176</v>
      </c>
      <c r="BE4" s="10" t="s">
        <v>176</v>
      </c>
      <c r="BF4" s="10" t="s">
        <v>176</v>
      </c>
      <c r="BG4" s="10" t="s">
        <v>176</v>
      </c>
    </row>
    <row r="5" spans="1:62" x14ac:dyDescent="0.2">
      <c r="A5" s="1" t="s">
        <v>170</v>
      </c>
      <c r="B5" s="1" t="s">
        <v>172</v>
      </c>
      <c r="C5" s="1" t="s">
        <v>58</v>
      </c>
      <c r="D5" s="1" t="s">
        <v>225</v>
      </c>
      <c r="E5" s="10" t="s">
        <v>176</v>
      </c>
      <c r="F5" s="10" t="s">
        <v>176</v>
      </c>
      <c r="G5" s="10" t="s">
        <v>176</v>
      </c>
      <c r="H5" s="10" t="s">
        <v>176</v>
      </c>
      <c r="I5" s="10">
        <f>INT(I$3*0.26)</f>
        <v>394687</v>
      </c>
      <c r="J5" s="10" t="s">
        <v>176</v>
      </c>
      <c r="K5" s="10" t="s">
        <v>176</v>
      </c>
      <c r="L5" s="10" t="s">
        <v>176</v>
      </c>
      <c r="M5" s="10" t="s">
        <v>176</v>
      </c>
      <c r="N5" s="10" t="s">
        <v>176</v>
      </c>
      <c r="O5" s="10" t="s">
        <v>176</v>
      </c>
      <c r="P5" s="10" t="s">
        <v>176</v>
      </c>
      <c r="Q5" s="10" t="s">
        <v>176</v>
      </c>
      <c r="R5" s="10" t="s">
        <v>176</v>
      </c>
      <c r="S5" s="10" t="s">
        <v>176</v>
      </c>
      <c r="T5" s="10" t="s">
        <v>176</v>
      </c>
      <c r="U5" s="10">
        <f>INT(U3*0.2)</f>
        <v>424212</v>
      </c>
      <c r="V5" s="10" t="s">
        <v>176</v>
      </c>
      <c r="W5" s="10" t="s">
        <v>176</v>
      </c>
      <c r="X5" s="10" t="s">
        <v>176</v>
      </c>
      <c r="Y5" s="10">
        <f>INT(Y3*0.2)</f>
        <v>665064</v>
      </c>
      <c r="Z5" s="10"/>
      <c r="AA5" s="10" t="s">
        <v>176</v>
      </c>
      <c r="AB5" s="10" t="s">
        <v>176</v>
      </c>
      <c r="AC5" s="10" t="s">
        <v>176</v>
      </c>
      <c r="AD5" s="10" t="s">
        <v>176</v>
      </c>
      <c r="AE5" s="10">
        <f>INT(AE3*0.17)</f>
        <v>625890</v>
      </c>
      <c r="AF5" s="10" t="s">
        <v>176</v>
      </c>
      <c r="AG5" s="10" t="s">
        <v>176</v>
      </c>
      <c r="AH5" s="10" t="s">
        <v>176</v>
      </c>
      <c r="AI5" s="10" t="s">
        <v>176</v>
      </c>
      <c r="AJ5" s="10" t="s">
        <v>176</v>
      </c>
      <c r="AK5" s="10" t="s">
        <v>176</v>
      </c>
      <c r="AL5" s="10" t="s">
        <v>176</v>
      </c>
      <c r="AM5" s="10" t="s">
        <v>176</v>
      </c>
      <c r="AN5" s="10" t="s">
        <v>176</v>
      </c>
      <c r="AO5" s="10" t="s">
        <v>176</v>
      </c>
      <c r="AP5" s="10">
        <f>ROUND(AP$3*0.0736,0)</f>
        <v>590506</v>
      </c>
      <c r="AQ5" s="10" t="s">
        <v>176</v>
      </c>
      <c r="AR5" s="10" t="s">
        <v>176</v>
      </c>
      <c r="AS5" s="10" t="s">
        <v>176</v>
      </c>
      <c r="AT5" s="10" t="s">
        <v>176</v>
      </c>
      <c r="AU5" s="10" t="s">
        <v>176</v>
      </c>
      <c r="AV5" s="10" t="s">
        <v>176</v>
      </c>
      <c r="AW5" s="10" t="s">
        <v>176</v>
      </c>
      <c r="AX5" s="10" t="s">
        <v>176</v>
      </c>
      <c r="AY5" s="10" t="s">
        <v>176</v>
      </c>
      <c r="AZ5" s="10" t="s">
        <v>176</v>
      </c>
      <c r="BA5" s="10" t="s">
        <v>176</v>
      </c>
      <c r="BB5" s="10" t="s">
        <v>176</v>
      </c>
      <c r="BC5" s="10">
        <f>ROUND(BC$3*0.15,0)</f>
        <v>908563</v>
      </c>
      <c r="BD5" s="10" t="s">
        <v>176</v>
      </c>
      <c r="BE5" s="10" t="s">
        <v>176</v>
      </c>
      <c r="BF5" s="10" t="s">
        <v>176</v>
      </c>
      <c r="BG5" s="10" t="s">
        <v>176</v>
      </c>
    </row>
    <row r="6" spans="1:62" x14ac:dyDescent="0.2">
      <c r="A6" s="1" t="s">
        <v>170</v>
      </c>
      <c r="B6" s="1" t="s">
        <v>172</v>
      </c>
      <c r="C6" s="1" t="s">
        <v>58</v>
      </c>
      <c r="D6" s="1" t="s">
        <v>228</v>
      </c>
      <c r="E6" s="10" t="s">
        <v>176</v>
      </c>
      <c r="F6" s="10" t="s">
        <v>176</v>
      </c>
      <c r="G6" s="10" t="s">
        <v>176</v>
      </c>
      <c r="H6" s="10" t="s">
        <v>176</v>
      </c>
      <c r="I6" s="10">
        <f>INT(I$3*0.12)</f>
        <v>182163</v>
      </c>
      <c r="J6" s="10" t="s">
        <v>176</v>
      </c>
      <c r="K6" s="10" t="s">
        <v>176</v>
      </c>
      <c r="L6" s="10" t="s">
        <v>176</v>
      </c>
      <c r="M6" s="10" t="s">
        <v>176</v>
      </c>
      <c r="N6" s="10" t="s">
        <v>176</v>
      </c>
      <c r="O6" s="10" t="s">
        <v>176</v>
      </c>
      <c r="P6" s="10" t="s">
        <v>176</v>
      </c>
      <c r="Q6" s="10" t="s">
        <v>176</v>
      </c>
      <c r="R6" s="10" t="s">
        <v>176</v>
      </c>
      <c r="S6" s="10" t="s">
        <v>176</v>
      </c>
      <c r="T6" s="10" t="s">
        <v>176</v>
      </c>
      <c r="U6" s="10">
        <f>INT(U3*0.13)</f>
        <v>275738</v>
      </c>
      <c r="V6" s="10" t="s">
        <v>176</v>
      </c>
      <c r="W6" s="10" t="s">
        <v>176</v>
      </c>
      <c r="X6" s="10" t="s">
        <v>176</v>
      </c>
      <c r="Y6" s="10">
        <f>INT(Y3*0.12)</f>
        <v>399038</v>
      </c>
      <c r="Z6" s="10"/>
      <c r="AA6" s="10" t="s">
        <v>176</v>
      </c>
      <c r="AB6" s="10" t="s">
        <v>176</v>
      </c>
      <c r="AC6" s="10" t="s">
        <v>176</v>
      </c>
      <c r="AD6" s="10" t="s">
        <v>176</v>
      </c>
      <c r="AE6" s="10">
        <f>INT(AE3*0.1)</f>
        <v>368170</v>
      </c>
      <c r="AF6" s="10" t="s">
        <v>176</v>
      </c>
      <c r="AG6" s="10" t="s">
        <v>176</v>
      </c>
      <c r="AH6" s="10" t="s">
        <v>176</v>
      </c>
      <c r="AI6" s="10" t="s">
        <v>176</v>
      </c>
      <c r="AJ6" s="10" t="s">
        <v>176</v>
      </c>
      <c r="AK6" s="10" t="s">
        <v>176</v>
      </c>
      <c r="AL6" s="10" t="s">
        <v>176</v>
      </c>
      <c r="AM6" s="10" t="s">
        <v>176</v>
      </c>
      <c r="AN6" s="10" t="s">
        <v>176</v>
      </c>
      <c r="AO6" s="10" t="s">
        <v>176</v>
      </c>
      <c r="AP6" s="10">
        <f>ROUND(AP$3*0.035,0)</f>
        <v>280811</v>
      </c>
      <c r="AQ6" s="10" t="s">
        <v>176</v>
      </c>
      <c r="AR6" s="10" t="s">
        <v>176</v>
      </c>
      <c r="AS6" s="10" t="s">
        <v>176</v>
      </c>
      <c r="AT6" s="10" t="s">
        <v>176</v>
      </c>
      <c r="AU6" s="10" t="s">
        <v>176</v>
      </c>
      <c r="AV6" s="10" t="s">
        <v>176</v>
      </c>
      <c r="AW6" s="10" t="s">
        <v>176</v>
      </c>
      <c r="AX6" s="10" t="s">
        <v>176</v>
      </c>
      <c r="AY6" s="10" t="s">
        <v>176</v>
      </c>
      <c r="AZ6" s="10" t="s">
        <v>176</v>
      </c>
      <c r="BA6" s="10" t="s">
        <v>176</v>
      </c>
      <c r="BB6" s="10" t="s">
        <v>176</v>
      </c>
      <c r="BC6" s="10">
        <f>ROUND(BC$3*0.04,0)</f>
        <v>242283</v>
      </c>
      <c r="BD6" s="10" t="s">
        <v>176</v>
      </c>
      <c r="BE6" s="10" t="s">
        <v>176</v>
      </c>
      <c r="BF6" s="10" t="s">
        <v>176</v>
      </c>
      <c r="BG6" s="10" t="s">
        <v>176</v>
      </c>
    </row>
    <row r="7" spans="1:62" x14ac:dyDescent="0.2">
      <c r="A7" s="1" t="s">
        <v>170</v>
      </c>
      <c r="B7" s="1" t="s">
        <v>172</v>
      </c>
      <c r="C7" s="1" t="s">
        <v>58</v>
      </c>
      <c r="D7" s="1" t="s">
        <v>229</v>
      </c>
      <c r="E7" s="10" t="s">
        <v>176</v>
      </c>
      <c r="F7" s="10" t="s">
        <v>176</v>
      </c>
      <c r="G7" s="10" t="s">
        <v>176</v>
      </c>
      <c r="H7" s="10" t="s">
        <v>176</v>
      </c>
      <c r="I7" s="10">
        <f>I3-SUM(I4:I6)</f>
        <v>45542</v>
      </c>
      <c r="J7" s="10" t="s">
        <v>176</v>
      </c>
      <c r="K7" s="10" t="s">
        <v>176</v>
      </c>
      <c r="L7" s="10" t="s">
        <v>176</v>
      </c>
      <c r="M7" s="10" t="s">
        <v>176</v>
      </c>
      <c r="N7" s="10" t="s">
        <v>176</v>
      </c>
      <c r="O7" s="10" t="s">
        <v>176</v>
      </c>
      <c r="P7" s="10" t="s">
        <v>176</v>
      </c>
      <c r="Q7" s="10" t="s">
        <v>176</v>
      </c>
      <c r="R7" s="10" t="s">
        <v>176</v>
      </c>
      <c r="S7" s="10" t="s">
        <v>176</v>
      </c>
      <c r="T7" s="10" t="s">
        <v>176</v>
      </c>
      <c r="U7" s="10">
        <f>INT(U3*0.04)</f>
        <v>84842</v>
      </c>
      <c r="V7" s="10" t="s">
        <v>176</v>
      </c>
      <c r="W7" s="10" t="s">
        <v>176</v>
      </c>
      <c r="X7" s="10" t="s">
        <v>176</v>
      </c>
      <c r="Y7" s="10">
        <f>INT(Y3*0.07)</f>
        <v>232772</v>
      </c>
      <c r="Z7" s="10"/>
      <c r="AA7" s="10" t="s">
        <v>176</v>
      </c>
      <c r="AB7" s="10" t="s">
        <v>176</v>
      </c>
      <c r="AC7" s="10" t="s">
        <v>176</v>
      </c>
      <c r="AD7" s="10" t="s">
        <v>176</v>
      </c>
      <c r="AE7" s="10">
        <f>INT(AE3*0.06)</f>
        <v>220902</v>
      </c>
      <c r="AF7" s="10" t="s">
        <v>176</v>
      </c>
      <c r="AG7" s="10" t="s">
        <v>176</v>
      </c>
      <c r="AH7" s="10" t="s">
        <v>176</v>
      </c>
      <c r="AI7" s="10" t="s">
        <v>176</v>
      </c>
      <c r="AJ7" s="10" t="s">
        <v>176</v>
      </c>
      <c r="AK7" s="10" t="s">
        <v>176</v>
      </c>
      <c r="AL7" s="10" t="s">
        <v>176</v>
      </c>
      <c r="AM7" s="10" t="s">
        <v>176</v>
      </c>
      <c r="AN7" s="10" t="s">
        <v>176</v>
      </c>
      <c r="AO7" s="10" t="s">
        <v>176</v>
      </c>
      <c r="AP7" s="10">
        <f>ROUND(AP$3*0.0366,0)</f>
        <v>293649</v>
      </c>
      <c r="AQ7" s="10" t="s">
        <v>176</v>
      </c>
      <c r="AR7" s="10" t="s">
        <v>176</v>
      </c>
      <c r="AS7" s="10" t="s">
        <v>176</v>
      </c>
      <c r="AT7" s="10" t="s">
        <v>176</v>
      </c>
      <c r="AU7" s="10" t="s">
        <v>176</v>
      </c>
      <c r="AV7" s="10" t="s">
        <v>176</v>
      </c>
      <c r="AW7" s="10" t="s">
        <v>176</v>
      </c>
      <c r="AX7" s="10" t="s">
        <v>176</v>
      </c>
      <c r="AY7" s="10" t="s">
        <v>176</v>
      </c>
      <c r="AZ7" s="10" t="s">
        <v>176</v>
      </c>
      <c r="BA7" s="10" t="s">
        <v>176</v>
      </c>
      <c r="BB7" s="10" t="s">
        <v>176</v>
      </c>
      <c r="BC7" s="10">
        <f>ROUND(BC$3*0.04,0)</f>
        <v>242283</v>
      </c>
      <c r="BD7" s="10" t="s">
        <v>176</v>
      </c>
      <c r="BE7" s="10" t="s">
        <v>176</v>
      </c>
      <c r="BF7" s="10" t="s">
        <v>176</v>
      </c>
      <c r="BG7" s="10" t="s">
        <v>176</v>
      </c>
    </row>
    <row r="8" spans="1:62" x14ac:dyDescent="0.2">
      <c r="A8" s="1" t="s">
        <v>170</v>
      </c>
      <c r="B8" s="1" t="s">
        <v>172</v>
      </c>
      <c r="C8" s="1" t="s">
        <v>58</v>
      </c>
      <c r="D8" s="1" t="s">
        <v>267</v>
      </c>
      <c r="E8" s="13">
        <v>37338</v>
      </c>
      <c r="F8" s="13">
        <v>47796</v>
      </c>
      <c r="G8" s="13">
        <v>42049</v>
      </c>
      <c r="H8" s="10">
        <v>60207</v>
      </c>
      <c r="I8" s="10">
        <v>49582</v>
      </c>
      <c r="J8" s="10" t="s">
        <v>176</v>
      </c>
      <c r="K8" s="10" t="s">
        <v>176</v>
      </c>
      <c r="L8" s="10" t="s">
        <v>176</v>
      </c>
      <c r="M8" s="10" t="s">
        <v>176</v>
      </c>
      <c r="N8" s="10" t="s">
        <v>176</v>
      </c>
      <c r="O8" s="10" t="s">
        <v>176</v>
      </c>
      <c r="P8" s="10" t="s">
        <v>176</v>
      </c>
      <c r="Q8" s="10" t="s">
        <v>176</v>
      </c>
      <c r="R8" s="10" t="s">
        <v>176</v>
      </c>
      <c r="S8" s="10" t="s">
        <v>176</v>
      </c>
      <c r="T8" s="10" t="s">
        <v>176</v>
      </c>
      <c r="U8" s="10" t="s">
        <v>176</v>
      </c>
      <c r="V8" s="10" t="s">
        <v>176</v>
      </c>
      <c r="W8" s="10" t="s">
        <v>176</v>
      </c>
      <c r="X8" s="10" t="s">
        <v>176</v>
      </c>
      <c r="Y8" s="10" t="s">
        <v>176</v>
      </c>
      <c r="Z8" s="10"/>
      <c r="AA8" s="10" t="s">
        <v>176</v>
      </c>
      <c r="AB8" s="10" t="s">
        <v>176</v>
      </c>
      <c r="AC8" s="10" t="s">
        <v>176</v>
      </c>
      <c r="AD8" s="10" t="s">
        <v>176</v>
      </c>
      <c r="AE8" s="10" t="s">
        <v>176</v>
      </c>
      <c r="AF8" s="10" t="s">
        <v>176</v>
      </c>
      <c r="AG8" s="10" t="s">
        <v>176</v>
      </c>
      <c r="AH8" s="10" t="s">
        <v>176</v>
      </c>
      <c r="AI8" s="10" t="s">
        <v>176</v>
      </c>
      <c r="AJ8" s="10" t="s">
        <v>176</v>
      </c>
      <c r="AK8" s="10" t="s">
        <v>176</v>
      </c>
      <c r="AL8" s="10" t="s">
        <v>176</v>
      </c>
      <c r="AM8" s="10" t="s">
        <v>176</v>
      </c>
      <c r="AN8" s="10" t="s">
        <v>176</v>
      </c>
      <c r="AO8" s="10" t="s">
        <v>176</v>
      </c>
      <c r="AP8" s="10" t="s">
        <v>176</v>
      </c>
      <c r="AQ8" s="10" t="s">
        <v>176</v>
      </c>
      <c r="AR8" s="10" t="s">
        <v>176</v>
      </c>
      <c r="AS8" s="10" t="s">
        <v>176</v>
      </c>
      <c r="AT8" s="10" t="s">
        <v>176</v>
      </c>
      <c r="AU8" s="10" t="s">
        <v>176</v>
      </c>
      <c r="AV8" s="10" t="s">
        <v>176</v>
      </c>
      <c r="AW8" s="10" t="s">
        <v>176</v>
      </c>
      <c r="AX8" s="10" t="s">
        <v>176</v>
      </c>
      <c r="AY8" s="10" t="s">
        <v>176</v>
      </c>
      <c r="AZ8" s="10" t="s">
        <v>176</v>
      </c>
      <c r="BA8" s="10" t="s">
        <v>176</v>
      </c>
      <c r="BB8" s="10" t="s">
        <v>176</v>
      </c>
      <c r="BC8" s="10" t="s">
        <v>176</v>
      </c>
      <c r="BD8" s="10" t="s">
        <v>176</v>
      </c>
      <c r="BE8" s="10" t="s">
        <v>176</v>
      </c>
      <c r="BF8" s="10" t="s">
        <v>176</v>
      </c>
      <c r="BG8" s="10" t="s">
        <v>176</v>
      </c>
    </row>
    <row r="9" spans="1:62" x14ac:dyDescent="0.2">
      <c r="A9" s="1" t="s">
        <v>170</v>
      </c>
      <c r="B9" s="1" t="s">
        <v>172</v>
      </c>
      <c r="C9" s="1" t="s">
        <v>58</v>
      </c>
      <c r="D9" s="1" t="s">
        <v>593</v>
      </c>
      <c r="E9" s="10" t="s">
        <v>176</v>
      </c>
      <c r="F9" s="10" t="s">
        <v>176</v>
      </c>
      <c r="G9" s="10" t="s">
        <v>176</v>
      </c>
      <c r="H9" s="10" t="s">
        <v>176</v>
      </c>
      <c r="I9" s="10" t="s">
        <v>176</v>
      </c>
      <c r="J9" s="10" t="s">
        <v>176</v>
      </c>
      <c r="K9" s="10" t="s">
        <v>176</v>
      </c>
      <c r="L9" s="10" t="s">
        <v>176</v>
      </c>
      <c r="M9" s="10" t="s">
        <v>176</v>
      </c>
      <c r="N9" s="10" t="s">
        <v>176</v>
      </c>
      <c r="O9" s="10" t="s">
        <v>176</v>
      </c>
      <c r="P9" s="10" t="s">
        <v>176</v>
      </c>
      <c r="Q9" s="10" t="s">
        <v>176</v>
      </c>
      <c r="R9" s="10" t="s">
        <v>176</v>
      </c>
      <c r="S9" s="10" t="s">
        <v>176</v>
      </c>
      <c r="T9" s="10" t="s">
        <v>176</v>
      </c>
      <c r="U9" s="10" t="s">
        <v>176</v>
      </c>
      <c r="V9" s="10" t="s">
        <v>176</v>
      </c>
      <c r="W9" s="10" t="s">
        <v>176</v>
      </c>
      <c r="X9" s="10" t="s">
        <v>176</v>
      </c>
      <c r="Y9" s="10" t="s">
        <v>176</v>
      </c>
      <c r="Z9" s="10" t="s">
        <v>176</v>
      </c>
      <c r="AA9" s="10" t="s">
        <v>176</v>
      </c>
      <c r="AB9" s="10" t="s">
        <v>176</v>
      </c>
      <c r="AC9" s="10" t="s">
        <v>176</v>
      </c>
      <c r="AD9" s="10" t="s">
        <v>176</v>
      </c>
      <c r="AE9" s="10" t="s">
        <v>176</v>
      </c>
      <c r="AF9" s="10" t="s">
        <v>176</v>
      </c>
      <c r="AG9" s="10" t="s">
        <v>176</v>
      </c>
      <c r="AH9" s="10" t="s">
        <v>176</v>
      </c>
      <c r="AI9" s="10" t="s">
        <v>176</v>
      </c>
      <c r="AJ9" s="10" t="s">
        <v>176</v>
      </c>
      <c r="AK9" s="10" t="s">
        <v>176</v>
      </c>
      <c r="AL9" s="10" t="s">
        <v>176</v>
      </c>
      <c r="AM9" s="10" t="s">
        <v>176</v>
      </c>
      <c r="AN9" s="10" t="s">
        <v>176</v>
      </c>
      <c r="AO9" s="10" t="s">
        <v>176</v>
      </c>
      <c r="AP9" s="10" t="s">
        <v>176</v>
      </c>
      <c r="AQ9" s="10" t="s">
        <v>176</v>
      </c>
      <c r="AR9" s="10" t="s">
        <v>176</v>
      </c>
      <c r="AS9" s="10" t="s">
        <v>176</v>
      </c>
      <c r="AT9" s="10" t="s">
        <v>176</v>
      </c>
      <c r="AU9" s="10" t="s">
        <v>176</v>
      </c>
      <c r="AV9" s="10">
        <v>0</v>
      </c>
      <c r="AW9" s="10">
        <v>0</v>
      </c>
      <c r="AX9" s="10">
        <v>0</v>
      </c>
      <c r="AY9" s="10">
        <v>105775</v>
      </c>
      <c r="AZ9" s="10">
        <v>10672</v>
      </c>
      <c r="BA9" s="13">
        <v>0</v>
      </c>
      <c r="BB9" s="13">
        <v>0</v>
      </c>
      <c r="BC9" s="13">
        <v>0</v>
      </c>
      <c r="BD9" s="13">
        <v>31173</v>
      </c>
      <c r="BE9" s="13">
        <v>0</v>
      </c>
      <c r="BF9" s="13">
        <v>0</v>
      </c>
      <c r="BG9" s="13">
        <v>22500</v>
      </c>
    </row>
    <row r="10" spans="1:62" x14ac:dyDescent="0.2">
      <c r="A10" s="1" t="s">
        <v>170</v>
      </c>
      <c r="B10" s="1" t="s">
        <v>172</v>
      </c>
      <c r="C10" s="1" t="s">
        <v>58</v>
      </c>
      <c r="D10" s="1" t="s">
        <v>268</v>
      </c>
      <c r="E10" s="13">
        <v>5940</v>
      </c>
      <c r="F10" s="13">
        <v>6480</v>
      </c>
      <c r="G10" s="13">
        <v>6480</v>
      </c>
      <c r="H10" s="13">
        <v>6480</v>
      </c>
      <c r="I10" s="13">
        <v>6480</v>
      </c>
      <c r="J10" s="10" t="s">
        <v>176</v>
      </c>
      <c r="K10" s="10" t="s">
        <v>176</v>
      </c>
      <c r="L10" s="10" t="s">
        <v>176</v>
      </c>
      <c r="M10" s="10" t="s">
        <v>176</v>
      </c>
      <c r="N10" s="10" t="s">
        <v>176</v>
      </c>
      <c r="O10" s="10" t="s">
        <v>176</v>
      </c>
      <c r="P10" s="10" t="s">
        <v>176</v>
      </c>
      <c r="Q10" s="10" t="s">
        <v>176</v>
      </c>
      <c r="R10" s="10" t="s">
        <v>176</v>
      </c>
      <c r="S10" s="10" t="s">
        <v>176</v>
      </c>
      <c r="T10" s="10" t="s">
        <v>176</v>
      </c>
      <c r="U10" s="10" t="s">
        <v>176</v>
      </c>
      <c r="V10" s="10" t="s">
        <v>176</v>
      </c>
      <c r="W10" s="10" t="s">
        <v>176</v>
      </c>
      <c r="X10" s="10" t="s">
        <v>176</v>
      </c>
      <c r="Y10" s="10" t="s">
        <v>176</v>
      </c>
      <c r="Z10" s="10"/>
      <c r="AA10" s="10" t="s">
        <v>176</v>
      </c>
      <c r="AB10" s="10" t="s">
        <v>176</v>
      </c>
      <c r="AC10" s="10" t="s">
        <v>176</v>
      </c>
      <c r="AD10" s="10" t="s">
        <v>176</v>
      </c>
      <c r="AE10" s="10" t="s">
        <v>176</v>
      </c>
      <c r="AF10" s="10" t="s">
        <v>176</v>
      </c>
      <c r="AG10" s="10" t="s">
        <v>176</v>
      </c>
      <c r="AH10" s="10" t="s">
        <v>176</v>
      </c>
      <c r="AI10" s="10" t="s">
        <v>176</v>
      </c>
      <c r="AJ10" s="10" t="s">
        <v>176</v>
      </c>
      <c r="AK10" s="10" t="s">
        <v>176</v>
      </c>
      <c r="AL10" s="10" t="s">
        <v>176</v>
      </c>
      <c r="AM10" s="10" t="s">
        <v>176</v>
      </c>
      <c r="AN10" s="10" t="s">
        <v>176</v>
      </c>
      <c r="AO10" s="10" t="s">
        <v>176</v>
      </c>
      <c r="AP10" s="10" t="s">
        <v>176</v>
      </c>
      <c r="AQ10" s="10" t="s">
        <v>176</v>
      </c>
      <c r="AR10" s="10" t="s">
        <v>176</v>
      </c>
      <c r="AS10" s="10" t="s">
        <v>176</v>
      </c>
      <c r="AT10" s="10" t="s">
        <v>176</v>
      </c>
      <c r="AU10" s="10" t="s">
        <v>176</v>
      </c>
      <c r="AV10" s="10" t="s">
        <v>176</v>
      </c>
      <c r="AW10" s="10" t="s">
        <v>176</v>
      </c>
      <c r="AX10" s="10" t="s">
        <v>176</v>
      </c>
      <c r="AY10" s="10" t="s">
        <v>176</v>
      </c>
      <c r="AZ10" s="10" t="s">
        <v>176</v>
      </c>
      <c r="BA10" s="10" t="s">
        <v>176</v>
      </c>
      <c r="BB10" s="10" t="s">
        <v>176</v>
      </c>
      <c r="BC10" s="10" t="s">
        <v>176</v>
      </c>
      <c r="BD10" s="10" t="s">
        <v>176</v>
      </c>
      <c r="BE10" s="10" t="s">
        <v>176</v>
      </c>
      <c r="BF10" s="10" t="s">
        <v>176</v>
      </c>
      <c r="BG10" s="10" t="s">
        <v>176</v>
      </c>
    </row>
    <row r="11" spans="1:62" x14ac:dyDescent="0.2">
      <c r="A11" s="1" t="s">
        <v>170</v>
      </c>
      <c r="B11" s="1" t="s">
        <v>172</v>
      </c>
      <c r="C11" s="1" t="s">
        <v>58</v>
      </c>
      <c r="D11" s="1" t="s">
        <v>269</v>
      </c>
      <c r="E11" s="13">
        <v>8212</v>
      </c>
      <c r="F11" s="13">
        <v>8394</v>
      </c>
      <c r="G11" s="13">
        <v>15778</v>
      </c>
      <c r="H11" s="10">
        <v>14210</v>
      </c>
      <c r="I11" s="10">
        <v>41643</v>
      </c>
      <c r="J11" s="10" t="s">
        <v>176</v>
      </c>
      <c r="K11" s="10" t="s">
        <v>176</v>
      </c>
      <c r="L11" s="10" t="s">
        <v>176</v>
      </c>
      <c r="M11" s="10" t="s">
        <v>176</v>
      </c>
      <c r="N11" s="10" t="s">
        <v>176</v>
      </c>
      <c r="O11" s="10" t="s">
        <v>176</v>
      </c>
      <c r="P11" s="10" t="s">
        <v>176</v>
      </c>
      <c r="Q11" s="10" t="s">
        <v>176</v>
      </c>
      <c r="R11" s="10" t="s">
        <v>176</v>
      </c>
      <c r="S11" s="10" t="s">
        <v>176</v>
      </c>
      <c r="T11" s="10" t="s">
        <v>176</v>
      </c>
      <c r="U11" s="10" t="s">
        <v>176</v>
      </c>
      <c r="V11" s="10" t="s">
        <v>176</v>
      </c>
      <c r="W11" s="10" t="s">
        <v>176</v>
      </c>
      <c r="X11" s="10" t="s">
        <v>176</v>
      </c>
      <c r="Y11" s="10" t="s">
        <v>176</v>
      </c>
      <c r="Z11" s="10"/>
      <c r="AA11" s="10" t="s">
        <v>176</v>
      </c>
      <c r="AB11" s="10" t="s">
        <v>176</v>
      </c>
      <c r="AC11" s="10" t="s">
        <v>176</v>
      </c>
      <c r="AD11" s="10" t="s">
        <v>176</v>
      </c>
      <c r="AE11" s="10" t="s">
        <v>176</v>
      </c>
      <c r="AF11" s="10" t="s">
        <v>176</v>
      </c>
      <c r="AG11" s="10" t="s">
        <v>176</v>
      </c>
      <c r="AH11" s="10" t="s">
        <v>176</v>
      </c>
      <c r="AI11" s="10" t="s">
        <v>176</v>
      </c>
      <c r="AJ11" s="10" t="s">
        <v>176</v>
      </c>
      <c r="AK11" s="10" t="s">
        <v>176</v>
      </c>
      <c r="AL11" s="10" t="s">
        <v>176</v>
      </c>
      <c r="AM11" s="10" t="s">
        <v>176</v>
      </c>
      <c r="AN11" s="10" t="s">
        <v>176</v>
      </c>
      <c r="AO11" s="10" t="s">
        <v>176</v>
      </c>
      <c r="AP11" s="10" t="s">
        <v>176</v>
      </c>
      <c r="AQ11" s="10" t="s">
        <v>176</v>
      </c>
      <c r="AR11" s="10" t="s">
        <v>176</v>
      </c>
      <c r="AS11" s="10" t="s">
        <v>176</v>
      </c>
      <c r="AT11" s="10" t="s">
        <v>176</v>
      </c>
      <c r="AU11" s="10" t="s">
        <v>176</v>
      </c>
      <c r="AV11" s="10" t="s">
        <v>176</v>
      </c>
      <c r="AW11" s="10" t="s">
        <v>176</v>
      </c>
      <c r="AX11" s="10" t="s">
        <v>176</v>
      </c>
      <c r="AY11" s="10" t="s">
        <v>176</v>
      </c>
      <c r="AZ11" s="10" t="s">
        <v>176</v>
      </c>
      <c r="BA11" s="10" t="s">
        <v>176</v>
      </c>
      <c r="BB11" s="10" t="s">
        <v>176</v>
      </c>
      <c r="BC11" s="10" t="s">
        <v>176</v>
      </c>
      <c r="BD11" s="10" t="s">
        <v>176</v>
      </c>
      <c r="BE11" s="10" t="s">
        <v>176</v>
      </c>
      <c r="BF11" s="10" t="s">
        <v>176</v>
      </c>
      <c r="BG11" s="10" t="s">
        <v>176</v>
      </c>
    </row>
    <row r="12" spans="1:62" x14ac:dyDescent="0.2">
      <c r="A12" s="1" t="s">
        <v>170</v>
      </c>
      <c r="B12" s="1" t="s">
        <v>172</v>
      </c>
      <c r="C12" s="1" t="s">
        <v>58</v>
      </c>
      <c r="D12" s="1" t="s">
        <v>270</v>
      </c>
      <c r="E12" s="13">
        <v>12969</v>
      </c>
      <c r="F12" s="13">
        <v>19572</v>
      </c>
      <c r="G12" s="13">
        <v>19328</v>
      </c>
      <c r="H12" s="10">
        <v>19751</v>
      </c>
      <c r="I12" s="10">
        <v>21588</v>
      </c>
      <c r="J12" s="10" t="s">
        <v>176</v>
      </c>
      <c r="K12" s="10" t="s">
        <v>176</v>
      </c>
      <c r="L12" s="10" t="s">
        <v>176</v>
      </c>
      <c r="M12" s="10" t="s">
        <v>176</v>
      </c>
      <c r="N12" s="10" t="s">
        <v>176</v>
      </c>
      <c r="O12" s="10" t="s">
        <v>176</v>
      </c>
      <c r="P12" s="10" t="s">
        <v>176</v>
      </c>
      <c r="Q12" s="10" t="s">
        <v>176</v>
      </c>
      <c r="R12" s="10" t="s">
        <v>176</v>
      </c>
      <c r="S12" s="10" t="s">
        <v>176</v>
      </c>
      <c r="T12" s="10" t="s">
        <v>176</v>
      </c>
      <c r="U12" s="10" t="s">
        <v>176</v>
      </c>
      <c r="V12" s="10" t="s">
        <v>176</v>
      </c>
      <c r="W12" s="10" t="s">
        <v>176</v>
      </c>
      <c r="X12" s="10" t="s">
        <v>176</v>
      </c>
      <c r="Y12" s="10" t="s">
        <v>176</v>
      </c>
      <c r="Z12" s="10"/>
      <c r="AA12" s="10" t="s">
        <v>176</v>
      </c>
      <c r="AB12" s="10" t="s">
        <v>176</v>
      </c>
      <c r="AC12" s="10" t="s">
        <v>176</v>
      </c>
      <c r="AD12" s="10" t="s">
        <v>176</v>
      </c>
      <c r="AE12" s="10" t="s">
        <v>176</v>
      </c>
      <c r="AF12" s="10" t="s">
        <v>176</v>
      </c>
      <c r="AG12" s="10" t="s">
        <v>176</v>
      </c>
      <c r="AH12" s="10" t="s">
        <v>176</v>
      </c>
      <c r="AI12" s="10" t="s">
        <v>176</v>
      </c>
      <c r="AJ12" s="10" t="s">
        <v>176</v>
      </c>
      <c r="AK12" s="10" t="s">
        <v>176</v>
      </c>
      <c r="AL12" s="10" t="s">
        <v>176</v>
      </c>
      <c r="AM12" s="10" t="s">
        <v>176</v>
      </c>
      <c r="AN12" s="10" t="s">
        <v>176</v>
      </c>
      <c r="AO12" s="10" t="s">
        <v>176</v>
      </c>
      <c r="AP12" s="10" t="s">
        <v>176</v>
      </c>
      <c r="AQ12" s="10" t="s">
        <v>176</v>
      </c>
      <c r="AR12" s="10" t="s">
        <v>176</v>
      </c>
      <c r="AS12" s="10" t="s">
        <v>176</v>
      </c>
      <c r="AT12" s="10" t="s">
        <v>176</v>
      </c>
      <c r="AU12" s="10" t="s">
        <v>176</v>
      </c>
      <c r="AV12" s="10" t="s">
        <v>176</v>
      </c>
      <c r="AW12" s="10" t="s">
        <v>176</v>
      </c>
      <c r="AX12" s="10" t="s">
        <v>176</v>
      </c>
      <c r="AY12" s="10" t="s">
        <v>176</v>
      </c>
      <c r="AZ12" s="10" t="s">
        <v>176</v>
      </c>
      <c r="BA12" s="10" t="s">
        <v>176</v>
      </c>
      <c r="BB12" s="10" t="s">
        <v>176</v>
      </c>
      <c r="BC12" s="10" t="s">
        <v>176</v>
      </c>
      <c r="BD12" s="10" t="s">
        <v>176</v>
      </c>
      <c r="BE12" s="10" t="s">
        <v>176</v>
      </c>
      <c r="BF12" s="10" t="s">
        <v>176</v>
      </c>
      <c r="BG12" s="10" t="s">
        <v>176</v>
      </c>
    </row>
    <row r="13" spans="1:62" x14ac:dyDescent="0.2">
      <c r="A13" s="1" t="s">
        <v>170</v>
      </c>
      <c r="B13" s="1" t="s">
        <v>172</v>
      </c>
      <c r="C13" s="1" t="s">
        <v>58</v>
      </c>
      <c r="D13" s="1" t="s">
        <v>271</v>
      </c>
      <c r="E13" s="13">
        <v>0</v>
      </c>
      <c r="F13" s="13">
        <v>2067</v>
      </c>
      <c r="G13" s="13">
        <v>3359</v>
      </c>
      <c r="H13" s="10">
        <v>2086</v>
      </c>
      <c r="I13" s="10">
        <v>5354</v>
      </c>
      <c r="J13" s="10">
        <v>0</v>
      </c>
      <c r="K13" s="10">
        <v>3216</v>
      </c>
      <c r="L13" s="10">
        <v>97258</v>
      </c>
      <c r="M13" s="10">
        <v>0</v>
      </c>
      <c r="N13" s="10">
        <v>133115</v>
      </c>
      <c r="O13" s="10">
        <f>O18-O3</f>
        <v>58123</v>
      </c>
      <c r="P13" s="10">
        <v>179713</v>
      </c>
      <c r="Q13" s="10">
        <f>Q18-Q3</f>
        <v>96756</v>
      </c>
      <c r="R13" s="10">
        <v>404070</v>
      </c>
      <c r="S13" s="10">
        <f>S18-S3</f>
        <v>18275</v>
      </c>
      <c r="T13" s="10">
        <v>725558</v>
      </c>
      <c r="U13" s="10">
        <f>U18-U3</f>
        <v>209438</v>
      </c>
      <c r="V13" s="10">
        <v>641898</v>
      </c>
      <c r="W13" s="10">
        <v>0</v>
      </c>
      <c r="X13" s="10">
        <v>0</v>
      </c>
      <c r="Y13" s="10">
        <v>1139</v>
      </c>
      <c r="Z13" s="10"/>
      <c r="AA13" s="13">
        <v>0</v>
      </c>
      <c r="AB13" s="13">
        <v>0</v>
      </c>
      <c r="AC13" s="13">
        <v>0</v>
      </c>
      <c r="AD13" s="13">
        <v>53352</v>
      </c>
      <c r="AE13" s="13">
        <v>80499</v>
      </c>
      <c r="AF13" s="10">
        <v>11558</v>
      </c>
      <c r="AG13" s="13">
        <v>79436</v>
      </c>
      <c r="AH13" s="10">
        <v>182155</v>
      </c>
      <c r="AI13" s="13">
        <v>0</v>
      </c>
      <c r="AJ13" s="13">
        <v>441903</v>
      </c>
      <c r="AK13" s="13">
        <v>0</v>
      </c>
      <c r="AL13" s="13">
        <v>0</v>
      </c>
      <c r="AM13" s="13">
        <v>0</v>
      </c>
      <c r="AN13" s="13">
        <v>0</v>
      </c>
      <c r="AO13" s="13">
        <v>77693</v>
      </c>
      <c r="AP13" s="10" t="s">
        <v>176</v>
      </c>
      <c r="AQ13" s="10" t="s">
        <v>176</v>
      </c>
      <c r="AR13" s="10" t="s">
        <v>176</v>
      </c>
      <c r="AS13" s="10" t="s">
        <v>176</v>
      </c>
      <c r="AT13" s="10" t="s">
        <v>176</v>
      </c>
      <c r="AU13" s="10" t="s">
        <v>176</v>
      </c>
      <c r="AV13" s="13">
        <v>4500</v>
      </c>
      <c r="AW13" s="13">
        <v>251632</v>
      </c>
      <c r="AX13" s="13">
        <v>559673</v>
      </c>
      <c r="AY13" s="13">
        <v>277288</v>
      </c>
      <c r="AZ13" s="13">
        <v>690</v>
      </c>
      <c r="BA13" s="13">
        <v>199730</v>
      </c>
      <c r="BB13" s="13">
        <v>0</v>
      </c>
      <c r="BC13" s="13">
        <v>0</v>
      </c>
      <c r="BD13" s="13">
        <v>0</v>
      </c>
      <c r="BE13" s="13">
        <v>0</v>
      </c>
      <c r="BF13" s="13">
        <v>0</v>
      </c>
      <c r="BG13" s="13">
        <v>0</v>
      </c>
    </row>
    <row r="14" spans="1:62" x14ac:dyDescent="0.2">
      <c r="A14" s="1" t="s">
        <v>170</v>
      </c>
      <c r="B14" s="1" t="s">
        <v>172</v>
      </c>
      <c r="C14" s="1" t="s">
        <v>58</v>
      </c>
      <c r="D14" s="1" t="s">
        <v>439</v>
      </c>
      <c r="E14" s="10" t="s">
        <v>176</v>
      </c>
      <c r="F14" s="10" t="s">
        <v>176</v>
      </c>
      <c r="G14" s="10" t="s">
        <v>176</v>
      </c>
      <c r="H14" s="10" t="s">
        <v>176</v>
      </c>
      <c r="I14" s="10" t="s">
        <v>176</v>
      </c>
      <c r="J14" s="10" t="s">
        <v>176</v>
      </c>
      <c r="K14" s="10" t="s">
        <v>176</v>
      </c>
      <c r="L14" s="10" t="s">
        <v>176</v>
      </c>
      <c r="M14" s="10" t="s">
        <v>176</v>
      </c>
      <c r="N14" s="10" t="s">
        <v>176</v>
      </c>
      <c r="O14" s="10" t="s">
        <v>176</v>
      </c>
      <c r="P14" s="10" t="s">
        <v>176</v>
      </c>
      <c r="Q14" s="10" t="s">
        <v>176</v>
      </c>
      <c r="R14" s="10" t="s">
        <v>176</v>
      </c>
      <c r="S14" s="10" t="s">
        <v>176</v>
      </c>
      <c r="T14" s="10" t="s">
        <v>176</v>
      </c>
      <c r="U14" s="10" t="s">
        <v>176</v>
      </c>
      <c r="V14" s="10" t="s">
        <v>176</v>
      </c>
      <c r="W14" s="10">
        <v>298848</v>
      </c>
      <c r="X14" s="10">
        <v>351098</v>
      </c>
      <c r="Y14" s="10">
        <v>237642</v>
      </c>
      <c r="Z14" s="10" t="s">
        <v>176</v>
      </c>
      <c r="AA14" s="13">
        <v>173713</v>
      </c>
      <c r="AB14" s="13">
        <v>266214</v>
      </c>
      <c r="AC14" s="13">
        <v>114094</v>
      </c>
      <c r="AD14" s="10" t="s">
        <v>176</v>
      </c>
      <c r="AE14" s="13">
        <v>95215</v>
      </c>
      <c r="AF14" s="10" t="s">
        <v>176</v>
      </c>
      <c r="AG14" s="13">
        <v>74250</v>
      </c>
      <c r="AH14" s="10" t="s">
        <v>176</v>
      </c>
      <c r="AI14" s="10" t="s">
        <v>176</v>
      </c>
      <c r="AJ14" s="10" t="s">
        <v>176</v>
      </c>
      <c r="AK14" s="10" t="s">
        <v>176</v>
      </c>
      <c r="AL14" s="10" t="s">
        <v>176</v>
      </c>
      <c r="AM14" s="10" t="s">
        <v>176</v>
      </c>
      <c r="AN14" s="10" t="s">
        <v>176</v>
      </c>
      <c r="AO14" s="10" t="s">
        <v>176</v>
      </c>
      <c r="AP14" s="10" t="s">
        <v>176</v>
      </c>
      <c r="AQ14" s="10" t="s">
        <v>176</v>
      </c>
      <c r="AR14" s="10" t="s">
        <v>176</v>
      </c>
      <c r="AS14" s="10" t="s">
        <v>176</v>
      </c>
      <c r="AT14" s="10" t="s">
        <v>176</v>
      </c>
      <c r="AU14" s="10" t="s">
        <v>176</v>
      </c>
      <c r="AV14" s="10" t="s">
        <v>176</v>
      </c>
      <c r="AW14" s="10" t="s">
        <v>176</v>
      </c>
      <c r="AX14" s="10" t="s">
        <v>176</v>
      </c>
      <c r="AY14" s="10" t="s">
        <v>176</v>
      </c>
      <c r="AZ14" s="10" t="s">
        <v>176</v>
      </c>
      <c r="BA14" s="10" t="s">
        <v>176</v>
      </c>
      <c r="BB14" s="10" t="s">
        <v>176</v>
      </c>
      <c r="BC14" s="10" t="s">
        <v>176</v>
      </c>
      <c r="BD14" s="10" t="s">
        <v>176</v>
      </c>
      <c r="BE14" s="10" t="s">
        <v>176</v>
      </c>
      <c r="BF14" s="10" t="s">
        <v>176</v>
      </c>
      <c r="BG14" s="10" t="s">
        <v>176</v>
      </c>
    </row>
    <row r="15" spans="1:62" x14ac:dyDescent="0.2">
      <c r="A15" s="1" t="s">
        <v>170</v>
      </c>
      <c r="B15" s="1" t="s">
        <v>172</v>
      </c>
      <c r="C15" s="1" t="s">
        <v>58</v>
      </c>
      <c r="D15" s="1" t="s">
        <v>531</v>
      </c>
      <c r="E15" s="10" t="s">
        <v>176</v>
      </c>
      <c r="F15" s="10" t="s">
        <v>176</v>
      </c>
      <c r="G15" s="10" t="s">
        <v>176</v>
      </c>
      <c r="H15" s="10" t="s">
        <v>176</v>
      </c>
      <c r="I15" s="10" t="s">
        <v>176</v>
      </c>
      <c r="J15" s="10" t="s">
        <v>176</v>
      </c>
      <c r="K15" s="10" t="s">
        <v>176</v>
      </c>
      <c r="L15" s="10" t="s">
        <v>176</v>
      </c>
      <c r="M15" s="10" t="s">
        <v>176</v>
      </c>
      <c r="N15" s="10" t="s">
        <v>176</v>
      </c>
      <c r="O15" s="10" t="s">
        <v>176</v>
      </c>
      <c r="P15" s="10" t="s">
        <v>176</v>
      </c>
      <c r="Q15" s="10" t="s">
        <v>176</v>
      </c>
      <c r="R15" s="10" t="s">
        <v>176</v>
      </c>
      <c r="S15" s="10" t="s">
        <v>176</v>
      </c>
      <c r="T15" s="10" t="s">
        <v>176</v>
      </c>
      <c r="U15" s="10" t="s">
        <v>176</v>
      </c>
      <c r="V15" s="10" t="s">
        <v>176</v>
      </c>
      <c r="W15" s="10" t="s">
        <v>176</v>
      </c>
      <c r="X15" s="10" t="s">
        <v>176</v>
      </c>
      <c r="Y15" s="10" t="s">
        <v>176</v>
      </c>
      <c r="Z15" s="10" t="s">
        <v>176</v>
      </c>
      <c r="AA15" s="10" t="s">
        <v>176</v>
      </c>
      <c r="AB15" s="10" t="s">
        <v>176</v>
      </c>
      <c r="AC15" s="10" t="s">
        <v>176</v>
      </c>
      <c r="AD15" s="10">
        <v>839965</v>
      </c>
      <c r="AE15" s="10" t="s">
        <v>176</v>
      </c>
      <c r="AF15" s="10">
        <v>865630</v>
      </c>
      <c r="AG15" s="10" t="s">
        <v>176</v>
      </c>
      <c r="AH15" s="10">
        <v>873917</v>
      </c>
      <c r="AI15" s="13">
        <v>1053090</v>
      </c>
      <c r="AJ15" s="13">
        <v>843676</v>
      </c>
      <c r="AK15" s="10" t="s">
        <v>176</v>
      </c>
      <c r="AL15" s="10" t="s">
        <v>176</v>
      </c>
      <c r="AM15" s="10" t="s">
        <v>176</v>
      </c>
      <c r="AN15" s="10" t="s">
        <v>176</v>
      </c>
      <c r="AO15" s="10" t="s">
        <v>176</v>
      </c>
      <c r="AP15" s="10" t="s">
        <v>176</v>
      </c>
      <c r="AQ15" s="10" t="s">
        <v>176</v>
      </c>
      <c r="AR15" s="10" t="s">
        <v>176</v>
      </c>
      <c r="AS15" s="10" t="s">
        <v>176</v>
      </c>
      <c r="AT15" s="10" t="s">
        <v>176</v>
      </c>
      <c r="AU15" s="10" t="s">
        <v>176</v>
      </c>
      <c r="AV15" s="10" t="s">
        <v>176</v>
      </c>
      <c r="AW15" s="10" t="s">
        <v>176</v>
      </c>
      <c r="AX15" s="10" t="s">
        <v>176</v>
      </c>
      <c r="AY15" s="10" t="s">
        <v>176</v>
      </c>
      <c r="AZ15" s="10" t="s">
        <v>176</v>
      </c>
      <c r="BA15" s="10" t="s">
        <v>176</v>
      </c>
      <c r="BB15" s="10" t="s">
        <v>176</v>
      </c>
      <c r="BC15" s="10" t="s">
        <v>176</v>
      </c>
      <c r="BD15" s="10" t="s">
        <v>176</v>
      </c>
      <c r="BE15" s="10" t="s">
        <v>176</v>
      </c>
      <c r="BF15" s="10" t="s">
        <v>176</v>
      </c>
      <c r="BG15" s="10" t="s">
        <v>176</v>
      </c>
    </row>
    <row r="16" spans="1:62" x14ac:dyDescent="0.2">
      <c r="A16" s="1" t="s">
        <v>170</v>
      </c>
      <c r="B16" s="1" t="s">
        <v>172</v>
      </c>
      <c r="C16" s="1" t="s">
        <v>58</v>
      </c>
      <c r="D16" s="1" t="s">
        <v>532</v>
      </c>
      <c r="E16" s="10" t="s">
        <v>176</v>
      </c>
      <c r="F16" s="10" t="s">
        <v>176</v>
      </c>
      <c r="G16" s="10" t="s">
        <v>176</v>
      </c>
      <c r="H16" s="10" t="s">
        <v>176</v>
      </c>
      <c r="I16" s="10" t="s">
        <v>176</v>
      </c>
      <c r="J16" s="10" t="s">
        <v>176</v>
      </c>
      <c r="K16" s="10" t="s">
        <v>176</v>
      </c>
      <c r="L16" s="10" t="s">
        <v>176</v>
      </c>
      <c r="M16" s="10" t="s">
        <v>176</v>
      </c>
      <c r="N16" s="10" t="s">
        <v>176</v>
      </c>
      <c r="O16" s="10" t="s">
        <v>176</v>
      </c>
      <c r="P16" s="10" t="s">
        <v>176</v>
      </c>
      <c r="Q16" s="10" t="s">
        <v>176</v>
      </c>
      <c r="R16" s="10" t="s">
        <v>176</v>
      </c>
      <c r="S16" s="10" t="s">
        <v>176</v>
      </c>
      <c r="T16" s="10" t="s">
        <v>176</v>
      </c>
      <c r="U16" s="10" t="s">
        <v>176</v>
      </c>
      <c r="V16" s="10" t="s">
        <v>176</v>
      </c>
      <c r="W16" s="10" t="s">
        <v>176</v>
      </c>
      <c r="X16" s="10" t="s">
        <v>176</v>
      </c>
      <c r="Y16" s="10" t="s">
        <v>176</v>
      </c>
      <c r="Z16" s="10" t="s">
        <v>176</v>
      </c>
      <c r="AA16" s="10" t="s">
        <v>176</v>
      </c>
      <c r="AB16" s="10" t="s">
        <v>176</v>
      </c>
      <c r="AC16" s="10" t="s">
        <v>176</v>
      </c>
      <c r="AD16" s="13">
        <v>42973</v>
      </c>
      <c r="AE16" s="10" t="s">
        <v>176</v>
      </c>
      <c r="AF16" s="10">
        <v>7319</v>
      </c>
      <c r="AG16" s="10" t="s">
        <v>176</v>
      </c>
      <c r="AH16" s="10">
        <v>9239</v>
      </c>
      <c r="AI16" s="13">
        <v>25577</v>
      </c>
      <c r="AJ16" s="13">
        <v>73379</v>
      </c>
      <c r="AK16" s="13">
        <v>173959</v>
      </c>
      <c r="AL16" s="13">
        <v>179091</v>
      </c>
      <c r="AM16" s="13">
        <v>89586</v>
      </c>
      <c r="AN16" s="13">
        <v>23957</v>
      </c>
      <c r="AO16" s="13">
        <v>36909</v>
      </c>
      <c r="AP16" s="10" t="s">
        <v>176</v>
      </c>
      <c r="AQ16" s="10" t="s">
        <v>176</v>
      </c>
      <c r="AR16" s="10" t="s">
        <v>176</v>
      </c>
      <c r="AS16" s="10" t="s">
        <v>176</v>
      </c>
      <c r="AT16" s="10" t="s">
        <v>176</v>
      </c>
      <c r="AU16" s="10" t="s">
        <v>176</v>
      </c>
      <c r="AV16" s="10" t="s">
        <v>176</v>
      </c>
      <c r="AW16" s="10" t="s">
        <v>176</v>
      </c>
      <c r="AX16" s="10" t="s">
        <v>176</v>
      </c>
      <c r="AY16" s="10" t="s">
        <v>176</v>
      </c>
      <c r="AZ16" s="10" t="s">
        <v>176</v>
      </c>
      <c r="BA16" s="10" t="s">
        <v>176</v>
      </c>
      <c r="BB16" s="10" t="s">
        <v>176</v>
      </c>
      <c r="BC16" s="10" t="s">
        <v>176</v>
      </c>
      <c r="BD16" s="10" t="s">
        <v>176</v>
      </c>
      <c r="BE16" s="10" t="s">
        <v>176</v>
      </c>
      <c r="BF16" s="10" t="s">
        <v>176</v>
      </c>
      <c r="BG16" s="10" t="s">
        <v>176</v>
      </c>
    </row>
    <row r="17" spans="1:62" x14ac:dyDescent="0.2">
      <c r="A17" s="1" t="s">
        <v>170</v>
      </c>
      <c r="B17" s="1" t="s">
        <v>172</v>
      </c>
      <c r="C17" s="1" t="s">
        <v>58</v>
      </c>
      <c r="D17" s="1" t="s">
        <v>509</v>
      </c>
      <c r="E17" s="10" t="s">
        <v>176</v>
      </c>
      <c r="F17" s="10" t="s">
        <v>176</v>
      </c>
      <c r="G17" s="10" t="s">
        <v>176</v>
      </c>
      <c r="H17" s="10" t="s">
        <v>176</v>
      </c>
      <c r="I17" s="10" t="s">
        <v>176</v>
      </c>
      <c r="J17" s="10" t="s">
        <v>176</v>
      </c>
      <c r="K17" s="10" t="s">
        <v>176</v>
      </c>
      <c r="L17" s="10" t="s">
        <v>176</v>
      </c>
      <c r="M17" s="10" t="s">
        <v>176</v>
      </c>
      <c r="N17" s="10" t="s">
        <v>176</v>
      </c>
      <c r="O17" s="10" t="s">
        <v>176</v>
      </c>
      <c r="P17" s="10" t="s">
        <v>176</v>
      </c>
      <c r="Q17" s="10" t="s">
        <v>176</v>
      </c>
      <c r="R17" s="10" t="s">
        <v>176</v>
      </c>
      <c r="S17" s="10" t="s">
        <v>176</v>
      </c>
      <c r="T17" s="10" t="s">
        <v>176</v>
      </c>
      <c r="U17" s="10" t="s">
        <v>176</v>
      </c>
      <c r="V17" s="10" t="s">
        <v>176</v>
      </c>
      <c r="W17" s="10" t="s">
        <v>176</v>
      </c>
      <c r="X17" s="10" t="s">
        <v>176</v>
      </c>
      <c r="Y17" s="10" t="s">
        <v>176</v>
      </c>
      <c r="Z17" s="10" t="s">
        <v>176</v>
      </c>
      <c r="AA17" s="10" t="s">
        <v>176</v>
      </c>
      <c r="AB17" s="10" t="s">
        <v>176</v>
      </c>
      <c r="AC17" s="10" t="s">
        <v>176</v>
      </c>
      <c r="AD17" s="10" t="s">
        <v>176</v>
      </c>
      <c r="AE17" s="10" t="s">
        <v>176</v>
      </c>
      <c r="AF17" s="10" t="s">
        <v>176</v>
      </c>
      <c r="AG17" s="13">
        <v>75353</v>
      </c>
      <c r="AH17" s="10" t="s">
        <v>176</v>
      </c>
      <c r="AI17" s="10" t="s">
        <v>176</v>
      </c>
      <c r="AJ17" s="10" t="s">
        <v>176</v>
      </c>
      <c r="AK17" s="10" t="s">
        <v>176</v>
      </c>
      <c r="AL17" s="10" t="s">
        <v>176</v>
      </c>
      <c r="AM17" s="10" t="s">
        <v>176</v>
      </c>
      <c r="AN17" s="10" t="s">
        <v>176</v>
      </c>
      <c r="AO17" s="10" t="s">
        <v>176</v>
      </c>
      <c r="AP17" s="10" t="s">
        <v>176</v>
      </c>
      <c r="AQ17" s="10" t="s">
        <v>176</v>
      </c>
      <c r="AR17" s="10" t="s">
        <v>176</v>
      </c>
      <c r="AS17" s="10" t="s">
        <v>176</v>
      </c>
      <c r="AT17" s="10" t="s">
        <v>176</v>
      </c>
      <c r="AU17" s="10" t="s">
        <v>176</v>
      </c>
      <c r="AV17" s="10">
        <v>93047</v>
      </c>
      <c r="AW17" s="10">
        <v>108757</v>
      </c>
      <c r="AX17" s="13">
        <v>109835</v>
      </c>
      <c r="AY17" s="13">
        <v>87610</v>
      </c>
      <c r="AZ17" s="13">
        <v>96050</v>
      </c>
      <c r="BA17" s="13">
        <v>166589</v>
      </c>
      <c r="BB17" s="13">
        <v>216896</v>
      </c>
      <c r="BC17" s="13">
        <v>213558</v>
      </c>
      <c r="BD17" s="13">
        <v>230287</v>
      </c>
      <c r="BE17" s="13">
        <v>219587</v>
      </c>
      <c r="BF17" s="13">
        <v>223772</v>
      </c>
      <c r="BG17" s="13">
        <v>191525</v>
      </c>
    </row>
    <row r="18" spans="1:62" x14ac:dyDescent="0.2">
      <c r="A18" s="1" t="s">
        <v>170</v>
      </c>
      <c r="B18" s="1" t="s">
        <v>172</v>
      </c>
      <c r="C18" s="7" t="s">
        <v>58</v>
      </c>
      <c r="D18" s="7" t="s">
        <v>59</v>
      </c>
      <c r="E18" s="15">
        <f t="shared" ref="E18:N18" si="0">SUM(E8:E17)+E3</f>
        <v>1150500</v>
      </c>
      <c r="F18" s="15">
        <f t="shared" si="0"/>
        <v>1435680</v>
      </c>
      <c r="G18" s="15">
        <f t="shared" si="0"/>
        <v>1519872</v>
      </c>
      <c r="H18" s="15">
        <f t="shared" si="0"/>
        <v>1549016</v>
      </c>
      <c r="I18" s="15">
        <f t="shared" si="0"/>
        <v>1642674</v>
      </c>
      <c r="J18" s="15">
        <f t="shared" si="0"/>
        <v>1197259</v>
      </c>
      <c r="K18" s="15">
        <f t="shared" si="0"/>
        <v>1597011</v>
      </c>
      <c r="L18" s="15">
        <f t="shared" si="0"/>
        <v>2079644</v>
      </c>
      <c r="M18" s="15">
        <f t="shared" si="0"/>
        <v>1578692</v>
      </c>
      <c r="N18" s="15">
        <f t="shared" si="0"/>
        <v>1898096</v>
      </c>
      <c r="O18" s="15">
        <v>1935744</v>
      </c>
      <c r="P18" s="15">
        <f>SUM(P8:P17)+P3</f>
        <v>2465729</v>
      </c>
      <c r="Q18" s="15">
        <v>1964588</v>
      </c>
      <c r="R18" s="15">
        <f>SUM(R8:R17)+R3</f>
        <v>2741706</v>
      </c>
      <c r="S18" s="15">
        <v>2291108</v>
      </c>
      <c r="T18" s="15">
        <f>SUM(T8:T17)+T3</f>
        <v>3891771</v>
      </c>
      <c r="U18" s="15">
        <v>2330500</v>
      </c>
      <c r="V18" s="15">
        <f t="shared" ref="V18:AJ18" si="1">SUM(V8:V17)+V3</f>
        <v>5027048</v>
      </c>
      <c r="W18" s="15">
        <f t="shared" si="1"/>
        <v>3269636</v>
      </c>
      <c r="X18" s="15">
        <f t="shared" si="1"/>
        <v>3389813</v>
      </c>
      <c r="Y18" s="15">
        <f t="shared" si="1"/>
        <v>3564101</v>
      </c>
      <c r="Z18" s="15">
        <f t="shared" si="1"/>
        <v>0</v>
      </c>
      <c r="AA18" s="15">
        <f t="shared" si="1"/>
        <v>4331771</v>
      </c>
      <c r="AB18" s="15">
        <f t="shared" si="1"/>
        <v>4611432</v>
      </c>
      <c r="AC18" s="15">
        <f t="shared" si="1"/>
        <v>4243146</v>
      </c>
      <c r="AD18" s="15">
        <f t="shared" si="1"/>
        <v>5327153</v>
      </c>
      <c r="AE18" s="15">
        <f t="shared" si="1"/>
        <v>3857422</v>
      </c>
      <c r="AF18" s="15">
        <f t="shared" si="1"/>
        <v>5626911</v>
      </c>
      <c r="AG18" s="15">
        <f t="shared" si="1"/>
        <v>3974289</v>
      </c>
      <c r="AH18" s="15">
        <f t="shared" si="1"/>
        <v>6462738</v>
      </c>
      <c r="AI18" s="15">
        <f t="shared" si="1"/>
        <v>6943985</v>
      </c>
      <c r="AJ18" s="15">
        <f t="shared" si="1"/>
        <v>7757344</v>
      </c>
      <c r="AK18" s="15">
        <f t="shared" ref="AK18" si="2">SUM(AK8:AK17)+AK3</f>
        <v>8823678</v>
      </c>
      <c r="AL18" s="15">
        <f t="shared" ref="AL18" si="3">SUM(AL8:AL17)+AL3</f>
        <v>8151101</v>
      </c>
      <c r="AM18" s="15">
        <f t="shared" ref="AM18" si="4">SUM(AM8:AM17)+AM3</f>
        <v>8078437</v>
      </c>
      <c r="AN18" s="15">
        <f t="shared" ref="AN18" si="5">SUM(AN8:AN17)+AN3</f>
        <v>8343153</v>
      </c>
      <c r="AO18" s="15">
        <f t="shared" ref="AO18" si="6">SUM(AO8:AO17)+AO3</f>
        <v>8551992</v>
      </c>
      <c r="AP18" s="15">
        <f>SUM(AP8:AP17)+AP3</f>
        <v>8023184</v>
      </c>
      <c r="AQ18" s="15">
        <f t="shared" ref="AQ18" si="7">SUM(AQ8:AQ17)+AQ3</f>
        <v>9485498</v>
      </c>
      <c r="AR18" s="15">
        <f t="shared" ref="AR18" si="8">SUM(AR8:AR17)+AR3</f>
        <v>8373751</v>
      </c>
      <c r="AS18" s="15">
        <f t="shared" ref="AS18" si="9">SUM(AS8:AS17)+AS3</f>
        <v>9113000</v>
      </c>
      <c r="AT18" s="15">
        <f t="shared" ref="AT18:AU18" si="10">SUM(AT8:AT17)+AT3</f>
        <v>9129584</v>
      </c>
      <c r="AU18" s="15">
        <f t="shared" si="10"/>
        <v>9138157</v>
      </c>
      <c r="AV18" s="15">
        <f t="shared" ref="AV18:BJ18" si="11">SUM(AV8:AV17)+AV3</f>
        <v>4294793</v>
      </c>
      <c r="AW18" s="15">
        <f t="shared" si="11"/>
        <v>5188139</v>
      </c>
      <c r="AX18" s="15">
        <f t="shared" si="11"/>
        <v>5567624</v>
      </c>
      <c r="AY18" s="15">
        <f t="shared" si="11"/>
        <v>5325355</v>
      </c>
      <c r="AZ18" s="15">
        <f t="shared" si="11"/>
        <v>5185390</v>
      </c>
      <c r="BA18" s="15">
        <f t="shared" si="11"/>
        <v>5277997</v>
      </c>
      <c r="BB18" s="15">
        <f t="shared" si="11"/>
        <v>6048958</v>
      </c>
      <c r="BC18" s="15">
        <f t="shared" si="11"/>
        <v>6270644</v>
      </c>
      <c r="BD18" s="15">
        <f t="shared" si="11"/>
        <v>6392988</v>
      </c>
      <c r="BE18" s="15">
        <f t="shared" si="11"/>
        <v>6366683</v>
      </c>
      <c r="BF18" s="15">
        <f t="shared" si="11"/>
        <v>6244731</v>
      </c>
      <c r="BG18" s="15">
        <f t="shared" si="11"/>
        <v>6289709</v>
      </c>
      <c r="BH18" s="27">
        <f t="shared" si="11"/>
        <v>0</v>
      </c>
      <c r="BI18" s="27">
        <f t="shared" si="11"/>
        <v>0</v>
      </c>
      <c r="BJ18" s="27">
        <f t="shared" si="11"/>
        <v>0</v>
      </c>
    </row>
    <row r="19" spans="1:62" x14ac:dyDescent="0.2">
      <c r="A19" s="1" t="s">
        <v>170</v>
      </c>
      <c r="B19" s="1" t="s">
        <v>172</v>
      </c>
      <c r="C19" s="1" t="s">
        <v>60</v>
      </c>
      <c r="D19" s="1" t="s">
        <v>272</v>
      </c>
      <c r="E19" s="13">
        <v>167263</v>
      </c>
      <c r="F19" s="13">
        <v>345888</v>
      </c>
      <c r="G19" s="13">
        <v>376354</v>
      </c>
      <c r="H19" s="13">
        <v>408788</v>
      </c>
      <c r="I19" s="13">
        <v>479433</v>
      </c>
      <c r="J19" s="10" t="s">
        <v>176</v>
      </c>
      <c r="K19" s="10" t="s">
        <v>176</v>
      </c>
      <c r="L19" s="10" t="s">
        <v>176</v>
      </c>
      <c r="M19" s="10" t="s">
        <v>176</v>
      </c>
      <c r="N19" s="10" t="s">
        <v>176</v>
      </c>
      <c r="O19" s="10" t="s">
        <v>176</v>
      </c>
      <c r="P19" s="10" t="s">
        <v>176</v>
      </c>
      <c r="Q19" s="10" t="s">
        <v>176</v>
      </c>
      <c r="R19" s="10" t="s">
        <v>176</v>
      </c>
      <c r="S19" s="10" t="s">
        <v>176</v>
      </c>
      <c r="T19" s="10" t="s">
        <v>176</v>
      </c>
      <c r="U19" s="10" t="s">
        <v>176</v>
      </c>
      <c r="V19" s="10" t="s">
        <v>176</v>
      </c>
      <c r="W19" s="10" t="s">
        <v>176</v>
      </c>
      <c r="X19" s="10" t="s">
        <v>176</v>
      </c>
      <c r="Y19" s="10" t="s">
        <v>176</v>
      </c>
      <c r="Z19" s="10" t="s">
        <v>176</v>
      </c>
      <c r="AA19" s="10" t="s">
        <v>176</v>
      </c>
      <c r="AB19" s="10" t="s">
        <v>176</v>
      </c>
      <c r="AC19" s="10" t="s">
        <v>176</v>
      </c>
      <c r="AD19" s="10" t="s">
        <v>176</v>
      </c>
      <c r="AE19" s="10" t="s">
        <v>176</v>
      </c>
      <c r="AF19" s="10" t="s">
        <v>176</v>
      </c>
      <c r="AG19" s="10" t="s">
        <v>176</v>
      </c>
      <c r="AH19" s="10" t="s">
        <v>176</v>
      </c>
      <c r="AI19" s="10" t="s">
        <v>176</v>
      </c>
      <c r="AJ19" s="10" t="s">
        <v>176</v>
      </c>
      <c r="AK19" s="10" t="s">
        <v>176</v>
      </c>
      <c r="AL19" s="10" t="s">
        <v>176</v>
      </c>
      <c r="AM19" s="10" t="s">
        <v>176</v>
      </c>
      <c r="AN19" s="10" t="s">
        <v>176</v>
      </c>
      <c r="AO19" s="10" t="s">
        <v>176</v>
      </c>
      <c r="AP19" s="10" t="s">
        <v>176</v>
      </c>
      <c r="AQ19" s="10" t="s">
        <v>176</v>
      </c>
      <c r="AR19" s="10" t="s">
        <v>176</v>
      </c>
      <c r="AS19" s="10" t="s">
        <v>176</v>
      </c>
      <c r="AT19" s="10" t="s">
        <v>176</v>
      </c>
      <c r="AU19" s="10" t="s">
        <v>176</v>
      </c>
      <c r="AV19" s="10" t="s">
        <v>176</v>
      </c>
      <c r="AW19" s="10" t="s">
        <v>176</v>
      </c>
      <c r="AX19" s="10" t="s">
        <v>176</v>
      </c>
      <c r="AY19" s="10" t="s">
        <v>176</v>
      </c>
      <c r="AZ19" s="10" t="s">
        <v>176</v>
      </c>
      <c r="BA19" s="10" t="s">
        <v>176</v>
      </c>
      <c r="BB19" s="10" t="s">
        <v>176</v>
      </c>
      <c r="BC19" s="10" t="s">
        <v>176</v>
      </c>
      <c r="BD19" s="10" t="s">
        <v>176</v>
      </c>
      <c r="BE19" s="10" t="s">
        <v>176</v>
      </c>
      <c r="BF19" s="10" t="s">
        <v>176</v>
      </c>
      <c r="BG19" s="10" t="s">
        <v>176</v>
      </c>
    </row>
    <row r="20" spans="1:62" x14ac:dyDescent="0.2">
      <c r="A20" s="1" t="s">
        <v>170</v>
      </c>
      <c r="B20" s="1" t="s">
        <v>172</v>
      </c>
      <c r="C20" s="1" t="s">
        <v>60</v>
      </c>
      <c r="D20" s="1" t="s">
        <v>273</v>
      </c>
      <c r="E20" s="13">
        <v>285706</v>
      </c>
      <c r="F20" s="13">
        <v>123072</v>
      </c>
      <c r="G20" s="13">
        <v>150207</v>
      </c>
      <c r="H20" s="13">
        <v>152972</v>
      </c>
      <c r="I20" s="13">
        <v>193485</v>
      </c>
      <c r="J20" s="10" t="s">
        <v>176</v>
      </c>
      <c r="K20" s="10" t="s">
        <v>176</v>
      </c>
      <c r="L20" s="10" t="s">
        <v>176</v>
      </c>
      <c r="M20" s="10" t="s">
        <v>176</v>
      </c>
      <c r="N20" s="10" t="s">
        <v>176</v>
      </c>
      <c r="O20" s="10" t="s">
        <v>176</v>
      </c>
      <c r="P20" s="10" t="s">
        <v>176</v>
      </c>
      <c r="Q20" s="10" t="s">
        <v>176</v>
      </c>
      <c r="R20" s="10" t="s">
        <v>176</v>
      </c>
      <c r="S20" s="10" t="s">
        <v>176</v>
      </c>
      <c r="T20" s="10" t="s">
        <v>176</v>
      </c>
      <c r="U20" s="10" t="s">
        <v>176</v>
      </c>
      <c r="V20" s="10" t="s">
        <v>176</v>
      </c>
      <c r="W20" s="10" t="s">
        <v>176</v>
      </c>
      <c r="X20" s="10" t="s">
        <v>176</v>
      </c>
      <c r="Y20" s="10" t="s">
        <v>176</v>
      </c>
      <c r="Z20" s="10" t="s">
        <v>176</v>
      </c>
      <c r="AA20" s="10" t="s">
        <v>176</v>
      </c>
      <c r="AB20" s="10" t="s">
        <v>176</v>
      </c>
      <c r="AC20" s="10" t="s">
        <v>176</v>
      </c>
      <c r="AD20" s="10" t="s">
        <v>176</v>
      </c>
      <c r="AE20" s="10" t="s">
        <v>176</v>
      </c>
      <c r="AF20" s="10" t="s">
        <v>176</v>
      </c>
      <c r="AG20" s="10" t="s">
        <v>176</v>
      </c>
      <c r="AH20" s="10" t="s">
        <v>176</v>
      </c>
      <c r="AI20" s="10" t="s">
        <v>176</v>
      </c>
      <c r="AJ20" s="10">
        <v>47312</v>
      </c>
      <c r="AK20" s="10" t="s">
        <v>176</v>
      </c>
      <c r="AL20" s="10" t="s">
        <v>176</v>
      </c>
      <c r="AM20" s="10" t="s">
        <v>176</v>
      </c>
      <c r="AN20" s="10" t="s">
        <v>176</v>
      </c>
      <c r="AO20" s="10" t="s">
        <v>176</v>
      </c>
      <c r="AP20" s="10" t="s">
        <v>176</v>
      </c>
      <c r="AQ20" s="10" t="s">
        <v>176</v>
      </c>
      <c r="AR20" s="10" t="s">
        <v>176</v>
      </c>
      <c r="AS20" s="10" t="s">
        <v>176</v>
      </c>
      <c r="AT20" s="10" t="s">
        <v>176</v>
      </c>
      <c r="AU20" s="10" t="s">
        <v>176</v>
      </c>
      <c r="AV20" s="10" t="s">
        <v>176</v>
      </c>
      <c r="AW20" s="10" t="s">
        <v>176</v>
      </c>
      <c r="AX20" s="10" t="s">
        <v>176</v>
      </c>
      <c r="AY20" s="10" t="s">
        <v>176</v>
      </c>
      <c r="AZ20" s="10" t="s">
        <v>176</v>
      </c>
      <c r="BA20" s="10" t="s">
        <v>176</v>
      </c>
      <c r="BB20" s="10" t="s">
        <v>176</v>
      </c>
      <c r="BC20" s="10" t="s">
        <v>176</v>
      </c>
      <c r="BD20" s="10" t="s">
        <v>176</v>
      </c>
      <c r="BE20" s="10" t="s">
        <v>176</v>
      </c>
      <c r="BF20" s="10" t="s">
        <v>176</v>
      </c>
      <c r="BG20" s="10" t="s">
        <v>176</v>
      </c>
    </row>
    <row r="21" spans="1:62" x14ac:dyDescent="0.2">
      <c r="A21" s="1" t="s">
        <v>170</v>
      </c>
      <c r="B21" s="1" t="s">
        <v>172</v>
      </c>
      <c r="C21" s="1" t="s">
        <v>60</v>
      </c>
      <c r="D21" s="1" t="s">
        <v>274</v>
      </c>
      <c r="E21" s="13">
        <v>71543</v>
      </c>
      <c r="F21" s="13">
        <v>82942</v>
      </c>
      <c r="G21" s="13">
        <v>94564</v>
      </c>
      <c r="H21" s="13">
        <v>127513</v>
      </c>
      <c r="I21" s="13">
        <v>145576</v>
      </c>
      <c r="J21" s="10" t="s">
        <v>176</v>
      </c>
      <c r="K21" s="10" t="s">
        <v>176</v>
      </c>
      <c r="L21" s="10" t="s">
        <v>176</v>
      </c>
      <c r="M21" s="10" t="s">
        <v>176</v>
      </c>
      <c r="N21" s="10" t="s">
        <v>176</v>
      </c>
      <c r="O21" s="10" t="s">
        <v>176</v>
      </c>
      <c r="P21" s="10" t="s">
        <v>176</v>
      </c>
      <c r="Q21" s="10" t="s">
        <v>176</v>
      </c>
      <c r="R21" s="10" t="s">
        <v>176</v>
      </c>
      <c r="S21" s="10" t="s">
        <v>176</v>
      </c>
      <c r="T21" s="10" t="s">
        <v>176</v>
      </c>
      <c r="U21" s="10" t="s">
        <v>176</v>
      </c>
      <c r="V21" s="10" t="s">
        <v>176</v>
      </c>
      <c r="W21" s="10" t="s">
        <v>176</v>
      </c>
      <c r="X21" s="10" t="s">
        <v>176</v>
      </c>
      <c r="Y21" s="10" t="s">
        <v>176</v>
      </c>
      <c r="Z21" s="10" t="s">
        <v>176</v>
      </c>
      <c r="AA21" s="10" t="s">
        <v>176</v>
      </c>
      <c r="AB21" s="10" t="s">
        <v>176</v>
      </c>
      <c r="AC21" s="10" t="s">
        <v>176</v>
      </c>
      <c r="AD21" s="10" t="s">
        <v>176</v>
      </c>
      <c r="AE21" s="10" t="s">
        <v>176</v>
      </c>
      <c r="AF21" s="10" t="s">
        <v>176</v>
      </c>
      <c r="AG21" s="10" t="s">
        <v>176</v>
      </c>
      <c r="AH21" s="10" t="s">
        <v>176</v>
      </c>
      <c r="AI21" s="10" t="s">
        <v>176</v>
      </c>
      <c r="AJ21" s="10" t="s">
        <v>176</v>
      </c>
      <c r="AK21" s="10" t="s">
        <v>176</v>
      </c>
      <c r="AL21" s="10" t="s">
        <v>176</v>
      </c>
      <c r="AM21" s="10" t="s">
        <v>176</v>
      </c>
      <c r="AN21" s="10" t="s">
        <v>176</v>
      </c>
      <c r="AO21" s="10" t="s">
        <v>176</v>
      </c>
      <c r="AP21" s="10" t="s">
        <v>176</v>
      </c>
      <c r="AQ21" s="10" t="s">
        <v>176</v>
      </c>
      <c r="AR21" s="10" t="s">
        <v>176</v>
      </c>
      <c r="AS21" s="10" t="s">
        <v>176</v>
      </c>
      <c r="AT21" s="10" t="s">
        <v>176</v>
      </c>
      <c r="AU21" s="10" t="s">
        <v>176</v>
      </c>
      <c r="AV21" s="10" t="s">
        <v>176</v>
      </c>
      <c r="AW21" s="10" t="s">
        <v>176</v>
      </c>
      <c r="AX21" s="10" t="s">
        <v>176</v>
      </c>
      <c r="AY21" s="10" t="s">
        <v>176</v>
      </c>
      <c r="AZ21" s="10" t="s">
        <v>176</v>
      </c>
      <c r="BA21" s="10" t="s">
        <v>176</v>
      </c>
      <c r="BB21" s="10" t="s">
        <v>176</v>
      </c>
      <c r="BC21" s="10" t="s">
        <v>176</v>
      </c>
      <c r="BD21" s="10" t="s">
        <v>176</v>
      </c>
      <c r="BE21" s="10" t="s">
        <v>176</v>
      </c>
      <c r="BF21" s="10" t="s">
        <v>176</v>
      </c>
      <c r="BG21" s="10" t="s">
        <v>176</v>
      </c>
    </row>
    <row r="22" spans="1:62" x14ac:dyDescent="0.2">
      <c r="A22" s="1" t="s">
        <v>170</v>
      </c>
      <c r="B22" s="1" t="s">
        <v>172</v>
      </c>
      <c r="C22" s="1" t="s">
        <v>60</v>
      </c>
      <c r="D22" s="1" t="s">
        <v>533</v>
      </c>
      <c r="E22" s="10" t="s">
        <v>176</v>
      </c>
      <c r="F22" s="10" t="s">
        <v>176</v>
      </c>
      <c r="G22" s="10" t="s">
        <v>176</v>
      </c>
      <c r="H22" s="10" t="s">
        <v>176</v>
      </c>
      <c r="I22" s="10" t="s">
        <v>176</v>
      </c>
      <c r="J22" s="10" t="s">
        <v>176</v>
      </c>
      <c r="K22" s="10" t="s">
        <v>176</v>
      </c>
      <c r="L22" s="10" t="s">
        <v>176</v>
      </c>
      <c r="M22" s="10" t="s">
        <v>176</v>
      </c>
      <c r="N22" s="10" t="s">
        <v>176</v>
      </c>
      <c r="O22" s="10" t="s">
        <v>176</v>
      </c>
      <c r="P22" s="10" t="s">
        <v>176</v>
      </c>
      <c r="Q22" s="10" t="s">
        <v>176</v>
      </c>
      <c r="R22" s="10" t="s">
        <v>176</v>
      </c>
      <c r="S22" s="10" t="s">
        <v>176</v>
      </c>
      <c r="T22" s="10" t="s">
        <v>176</v>
      </c>
      <c r="U22" s="10" t="s">
        <v>176</v>
      </c>
      <c r="V22" s="10" t="s">
        <v>176</v>
      </c>
      <c r="W22" s="10" t="s">
        <v>176</v>
      </c>
      <c r="X22" s="10" t="s">
        <v>176</v>
      </c>
      <c r="Y22" s="10" t="s">
        <v>176</v>
      </c>
      <c r="Z22" s="10" t="s">
        <v>176</v>
      </c>
      <c r="AA22" s="10" t="s">
        <v>176</v>
      </c>
      <c r="AB22" s="10" t="s">
        <v>176</v>
      </c>
      <c r="AC22" s="10" t="s">
        <v>176</v>
      </c>
      <c r="AD22" s="10">
        <v>1630145</v>
      </c>
      <c r="AE22" s="10" t="s">
        <v>176</v>
      </c>
      <c r="AF22" s="10">
        <v>1802460</v>
      </c>
      <c r="AG22" s="10" t="s">
        <v>176</v>
      </c>
      <c r="AH22" s="10">
        <v>2005512</v>
      </c>
      <c r="AI22" s="13">
        <v>2763003</v>
      </c>
      <c r="AJ22" s="13">
        <v>2953755</v>
      </c>
      <c r="AK22" s="13">
        <v>2990337</v>
      </c>
      <c r="AL22" s="13">
        <v>3493364</v>
      </c>
      <c r="AM22" s="13">
        <v>3062950</v>
      </c>
      <c r="AN22" s="13">
        <v>3365223</v>
      </c>
      <c r="AO22" s="13">
        <v>3322153</v>
      </c>
      <c r="AP22" s="13">
        <v>4093737</v>
      </c>
      <c r="AQ22" s="13">
        <v>5077129</v>
      </c>
      <c r="AR22" s="13">
        <v>2995540</v>
      </c>
      <c r="AS22" s="13">
        <v>3507435</v>
      </c>
      <c r="AT22" s="13">
        <v>3595093</v>
      </c>
      <c r="AU22" s="13">
        <v>3577562</v>
      </c>
      <c r="AV22" s="10" t="s">
        <v>176</v>
      </c>
      <c r="AW22" s="10" t="s">
        <v>176</v>
      </c>
      <c r="AX22" s="10" t="s">
        <v>176</v>
      </c>
      <c r="AY22" s="10" t="s">
        <v>176</v>
      </c>
      <c r="AZ22" s="10" t="s">
        <v>176</v>
      </c>
      <c r="BA22" s="10" t="s">
        <v>176</v>
      </c>
      <c r="BB22" s="10" t="s">
        <v>176</v>
      </c>
      <c r="BC22" s="10" t="s">
        <v>176</v>
      </c>
      <c r="BD22" s="10" t="s">
        <v>176</v>
      </c>
      <c r="BE22" s="10" t="s">
        <v>176</v>
      </c>
      <c r="BF22" s="10" t="s">
        <v>176</v>
      </c>
      <c r="BG22" s="10" t="s">
        <v>176</v>
      </c>
    </row>
    <row r="23" spans="1:62" x14ac:dyDescent="0.2">
      <c r="A23" s="1" t="s">
        <v>170</v>
      </c>
      <c r="B23" s="1" t="s">
        <v>172</v>
      </c>
      <c r="C23" s="1" t="s">
        <v>60</v>
      </c>
      <c r="D23" s="1" t="s">
        <v>534</v>
      </c>
      <c r="E23" s="10" t="s">
        <v>176</v>
      </c>
      <c r="F23" s="10" t="s">
        <v>176</v>
      </c>
      <c r="G23" s="10" t="s">
        <v>176</v>
      </c>
      <c r="H23" s="10" t="s">
        <v>176</v>
      </c>
      <c r="I23" s="10" t="s">
        <v>176</v>
      </c>
      <c r="J23" s="10" t="s">
        <v>176</v>
      </c>
      <c r="K23" s="10" t="s">
        <v>176</v>
      </c>
      <c r="L23" s="10" t="s">
        <v>176</v>
      </c>
      <c r="M23" s="10" t="s">
        <v>176</v>
      </c>
      <c r="N23" s="10" t="s">
        <v>176</v>
      </c>
      <c r="O23" s="10" t="s">
        <v>176</v>
      </c>
      <c r="P23" s="10" t="s">
        <v>176</v>
      </c>
      <c r="Q23" s="10" t="s">
        <v>176</v>
      </c>
      <c r="R23" s="10" t="s">
        <v>176</v>
      </c>
      <c r="S23" s="10" t="s">
        <v>176</v>
      </c>
      <c r="T23" s="10" t="s">
        <v>176</v>
      </c>
      <c r="U23" s="10" t="s">
        <v>176</v>
      </c>
      <c r="V23" s="10" t="s">
        <v>176</v>
      </c>
      <c r="W23" s="10" t="s">
        <v>176</v>
      </c>
      <c r="X23" s="10" t="s">
        <v>176</v>
      </c>
      <c r="Y23" s="10" t="s">
        <v>176</v>
      </c>
      <c r="Z23" s="10" t="s">
        <v>176</v>
      </c>
      <c r="AA23" s="10" t="s">
        <v>176</v>
      </c>
      <c r="AB23" s="10" t="s">
        <v>176</v>
      </c>
      <c r="AC23" s="10" t="s">
        <v>176</v>
      </c>
      <c r="AD23" s="10">
        <v>269078</v>
      </c>
      <c r="AE23" s="10" t="s">
        <v>176</v>
      </c>
      <c r="AF23" s="10">
        <v>381016</v>
      </c>
      <c r="AG23" s="10" t="s">
        <v>176</v>
      </c>
      <c r="AH23" s="10">
        <v>31234</v>
      </c>
      <c r="AI23" s="13">
        <v>33929</v>
      </c>
      <c r="AJ23" s="13">
        <v>311910</v>
      </c>
      <c r="AK23" s="13">
        <v>42111</v>
      </c>
      <c r="AL23" s="13">
        <v>43082</v>
      </c>
      <c r="AM23" s="13">
        <v>38767</v>
      </c>
      <c r="AN23" s="13">
        <v>45755</v>
      </c>
      <c r="AO23" s="13">
        <v>0</v>
      </c>
      <c r="AP23" s="10" t="s">
        <v>176</v>
      </c>
      <c r="AQ23" s="10" t="s">
        <v>176</v>
      </c>
      <c r="AR23" s="10" t="s">
        <v>176</v>
      </c>
      <c r="AS23" s="10" t="s">
        <v>176</v>
      </c>
      <c r="AT23" s="10" t="s">
        <v>176</v>
      </c>
      <c r="AU23" s="10" t="s">
        <v>176</v>
      </c>
      <c r="AV23" s="10" t="s">
        <v>176</v>
      </c>
      <c r="AW23" s="10" t="s">
        <v>176</v>
      </c>
      <c r="AX23" s="10" t="s">
        <v>176</v>
      </c>
      <c r="AY23" s="10" t="s">
        <v>176</v>
      </c>
      <c r="AZ23" s="10" t="s">
        <v>176</v>
      </c>
      <c r="BA23" s="10" t="s">
        <v>176</v>
      </c>
      <c r="BB23" s="10" t="s">
        <v>176</v>
      </c>
      <c r="BC23" s="10" t="s">
        <v>176</v>
      </c>
      <c r="BD23" s="10" t="s">
        <v>176</v>
      </c>
      <c r="BE23" s="10" t="s">
        <v>176</v>
      </c>
      <c r="BF23" s="10" t="s">
        <v>176</v>
      </c>
      <c r="BG23" s="10" t="s">
        <v>176</v>
      </c>
    </row>
    <row r="24" spans="1:62" x14ac:dyDescent="0.2">
      <c r="A24" s="1" t="s">
        <v>170</v>
      </c>
      <c r="B24" s="1" t="s">
        <v>172</v>
      </c>
      <c r="C24" s="1" t="s">
        <v>60</v>
      </c>
      <c r="D24" s="1" t="s">
        <v>275</v>
      </c>
      <c r="E24" s="13">
        <v>348046</v>
      </c>
      <c r="F24" s="13">
        <v>340961</v>
      </c>
      <c r="G24" s="13">
        <v>369236</v>
      </c>
      <c r="H24" s="13">
        <v>396919</v>
      </c>
      <c r="I24" s="13">
        <v>384013</v>
      </c>
      <c r="J24" s="10" t="s">
        <v>176</v>
      </c>
      <c r="K24" s="10" t="s">
        <v>176</v>
      </c>
      <c r="L24" s="10" t="s">
        <v>176</v>
      </c>
      <c r="M24" s="10" t="s">
        <v>176</v>
      </c>
      <c r="N24" s="10" t="s">
        <v>176</v>
      </c>
      <c r="O24" s="10" t="s">
        <v>176</v>
      </c>
      <c r="P24" s="10" t="s">
        <v>176</v>
      </c>
      <c r="Q24" s="10" t="s">
        <v>176</v>
      </c>
      <c r="R24" s="10" t="s">
        <v>176</v>
      </c>
      <c r="S24" s="10" t="s">
        <v>176</v>
      </c>
      <c r="T24" s="10" t="s">
        <v>176</v>
      </c>
      <c r="U24" s="10" t="s">
        <v>176</v>
      </c>
      <c r="V24" s="10" t="s">
        <v>176</v>
      </c>
      <c r="W24" s="10">
        <v>194911</v>
      </c>
      <c r="X24" s="10">
        <v>247178</v>
      </c>
      <c r="Y24" s="10">
        <v>23979</v>
      </c>
      <c r="AA24" s="13">
        <v>88122</v>
      </c>
      <c r="AB24" s="13">
        <v>125118</v>
      </c>
      <c r="AC24" s="13">
        <v>165270</v>
      </c>
      <c r="AD24" s="10">
        <f>150653+24101</f>
        <v>174754</v>
      </c>
      <c r="AE24" s="13">
        <v>121754</v>
      </c>
      <c r="AF24" s="10">
        <f>157832+39369</f>
        <v>197201</v>
      </c>
      <c r="AG24" s="13">
        <v>116637</v>
      </c>
      <c r="AH24" s="13">
        <f>238778+26649</f>
        <v>265427</v>
      </c>
      <c r="AI24" s="13">
        <f>192201+25105</f>
        <v>217306</v>
      </c>
      <c r="AJ24" s="13">
        <f>175673+18931</f>
        <v>194604</v>
      </c>
      <c r="AK24" s="13">
        <f>213920+70798</f>
        <v>284718</v>
      </c>
      <c r="AL24" s="13">
        <f>324419+18404</f>
        <v>342823</v>
      </c>
      <c r="AM24" s="13">
        <f>226364+19004</f>
        <v>245368</v>
      </c>
      <c r="AN24" s="13">
        <f>181345+32208</f>
        <v>213553</v>
      </c>
      <c r="AO24" s="13">
        <f>209527+29999</f>
        <v>239526</v>
      </c>
      <c r="AP24" s="13">
        <f>193531+31923</f>
        <v>225454</v>
      </c>
      <c r="AQ24" s="13">
        <f>181423+34128</f>
        <v>215551</v>
      </c>
      <c r="AR24" s="13">
        <f>191081+36495</f>
        <v>227576</v>
      </c>
      <c r="AS24" s="13">
        <f>202010+45083</f>
        <v>247093</v>
      </c>
      <c r="AT24" s="13">
        <f>197539+42850</f>
        <v>240389</v>
      </c>
      <c r="AU24" s="13">
        <f>88454+191005</f>
        <v>279459</v>
      </c>
      <c r="AV24" s="13">
        <v>118059</v>
      </c>
      <c r="AW24" s="13">
        <v>124131</v>
      </c>
      <c r="AX24" s="13">
        <v>177548</v>
      </c>
      <c r="AY24" s="13">
        <v>178314</v>
      </c>
      <c r="AZ24" s="13">
        <v>131528</v>
      </c>
      <c r="BA24" s="13">
        <v>121474</v>
      </c>
      <c r="BB24" s="13">
        <v>23500</v>
      </c>
      <c r="BC24" s="13">
        <v>21491</v>
      </c>
      <c r="BD24" s="13">
        <v>6694</v>
      </c>
      <c r="BE24" s="13">
        <v>36505</v>
      </c>
      <c r="BF24" s="13">
        <v>26812</v>
      </c>
      <c r="BG24" s="13">
        <v>11905</v>
      </c>
    </row>
    <row r="25" spans="1:62" x14ac:dyDescent="0.2">
      <c r="A25" s="1" t="s">
        <v>170</v>
      </c>
      <c r="B25" s="1" t="s">
        <v>172</v>
      </c>
      <c r="C25" s="1" t="s">
        <v>60</v>
      </c>
      <c r="D25" s="1" t="s">
        <v>346</v>
      </c>
      <c r="E25" s="10" t="s">
        <v>176</v>
      </c>
      <c r="F25" s="10" t="s">
        <v>176</v>
      </c>
      <c r="G25" s="10" t="s">
        <v>176</v>
      </c>
      <c r="H25" s="10" t="s">
        <v>176</v>
      </c>
      <c r="I25" s="10" t="s">
        <v>176</v>
      </c>
      <c r="J25" s="10">
        <v>4825</v>
      </c>
      <c r="K25" s="10">
        <v>190052</v>
      </c>
      <c r="L25" s="13">
        <v>205358</v>
      </c>
      <c r="M25" s="13">
        <v>207723</v>
      </c>
      <c r="N25" s="13">
        <v>472605</v>
      </c>
      <c r="O25" s="13">
        <v>673323</v>
      </c>
      <c r="P25" s="13">
        <v>230380</v>
      </c>
      <c r="Q25" s="13">
        <v>671081</v>
      </c>
      <c r="R25" s="13">
        <v>234378</v>
      </c>
      <c r="S25" s="13">
        <v>226167</v>
      </c>
      <c r="T25" s="13">
        <v>357660</v>
      </c>
      <c r="U25" s="13">
        <v>242629</v>
      </c>
      <c r="V25" s="13">
        <v>258164</v>
      </c>
      <c r="W25" s="13">
        <v>251208</v>
      </c>
      <c r="X25" s="13">
        <v>174992</v>
      </c>
      <c r="Y25" s="13">
        <v>293512</v>
      </c>
      <c r="AA25" s="13">
        <v>270690</v>
      </c>
      <c r="AB25" s="13">
        <v>294689</v>
      </c>
      <c r="AC25" s="13">
        <v>293819</v>
      </c>
      <c r="AD25" s="13">
        <f>230780+86264</f>
        <v>317044</v>
      </c>
      <c r="AE25" s="13">
        <v>333038</v>
      </c>
      <c r="AF25" s="10">
        <f>180635+14713</f>
        <v>195348</v>
      </c>
      <c r="AG25" s="13">
        <v>418959</v>
      </c>
      <c r="AH25" s="13">
        <f>125834+22565</f>
        <v>148399</v>
      </c>
      <c r="AI25" s="13">
        <f>233795+31046</f>
        <v>264841</v>
      </c>
      <c r="AJ25" s="13">
        <f>32678+113090</f>
        <v>145768</v>
      </c>
      <c r="AK25" s="13">
        <f>26090+120927</f>
        <v>147017</v>
      </c>
      <c r="AL25" s="13">
        <f>88287+25020</f>
        <v>113307</v>
      </c>
      <c r="AM25" s="13">
        <f>111715+25951</f>
        <v>137666</v>
      </c>
      <c r="AN25" s="13">
        <f>103785+17869</f>
        <v>121654</v>
      </c>
      <c r="AO25" s="13">
        <f>76596+12931</f>
        <v>89527</v>
      </c>
      <c r="AP25" s="13">
        <f>597368+9789</f>
        <v>607157</v>
      </c>
      <c r="AQ25" s="13">
        <f>98922+11603</f>
        <v>110525</v>
      </c>
      <c r="AR25" s="13">
        <f>65541+11075</f>
        <v>76616</v>
      </c>
      <c r="AS25" s="13">
        <f>198244+10293</f>
        <v>208537</v>
      </c>
      <c r="AT25" s="13">
        <f>91638+10617</f>
        <v>102255</v>
      </c>
      <c r="AU25" s="13">
        <f>113124+10355</f>
        <v>123479</v>
      </c>
      <c r="AV25" s="13">
        <v>450547</v>
      </c>
      <c r="AW25" s="13">
        <v>543825</v>
      </c>
      <c r="AX25" s="13">
        <v>575139</v>
      </c>
      <c r="AY25" s="13">
        <v>646447</v>
      </c>
      <c r="AZ25" s="13">
        <v>566826</v>
      </c>
      <c r="BA25" s="13">
        <v>568358</v>
      </c>
      <c r="BB25" s="13">
        <v>501136</v>
      </c>
      <c r="BC25" s="13">
        <v>505389</v>
      </c>
      <c r="BD25" s="13">
        <v>507439</v>
      </c>
      <c r="BE25" s="13">
        <v>530723</v>
      </c>
      <c r="BF25" s="13">
        <v>531263</v>
      </c>
      <c r="BG25" s="13">
        <v>542869</v>
      </c>
    </row>
    <row r="26" spans="1:62" x14ac:dyDescent="0.2">
      <c r="A26" s="1" t="s">
        <v>170</v>
      </c>
      <c r="B26" s="1" t="s">
        <v>172</v>
      </c>
      <c r="C26" s="1" t="s">
        <v>60</v>
      </c>
      <c r="D26" s="1" t="s">
        <v>347</v>
      </c>
      <c r="E26" s="10" t="s">
        <v>176</v>
      </c>
      <c r="F26" s="10" t="s">
        <v>176</v>
      </c>
      <c r="G26" s="10" t="s">
        <v>176</v>
      </c>
      <c r="H26" s="10" t="s">
        <v>176</v>
      </c>
      <c r="I26" s="10" t="s">
        <v>176</v>
      </c>
      <c r="J26" s="10">
        <v>1010931</v>
      </c>
      <c r="K26" s="10">
        <v>763227</v>
      </c>
      <c r="L26" s="13">
        <v>802209</v>
      </c>
      <c r="M26" s="13">
        <v>1136424</v>
      </c>
      <c r="N26" s="13">
        <v>931467</v>
      </c>
      <c r="O26" s="13">
        <v>969777</v>
      </c>
      <c r="P26" s="13">
        <v>1053514</v>
      </c>
      <c r="Q26" s="13">
        <v>885044</v>
      </c>
      <c r="R26" s="13">
        <v>1321742</v>
      </c>
      <c r="S26" s="13">
        <v>904745</v>
      </c>
      <c r="T26" s="13">
        <v>1697472</v>
      </c>
      <c r="U26" s="13">
        <v>1026363</v>
      </c>
      <c r="V26" s="13">
        <v>1754956</v>
      </c>
      <c r="W26" s="13">
        <v>1087972</v>
      </c>
      <c r="X26" s="13">
        <v>1247177</v>
      </c>
      <c r="Y26" s="13">
        <v>1147838</v>
      </c>
      <c r="AA26" s="13">
        <v>1268092</v>
      </c>
      <c r="AB26" s="13">
        <v>1271828</v>
      </c>
      <c r="AC26" s="13">
        <v>1155156</v>
      </c>
      <c r="AD26" s="13" t="s">
        <v>176</v>
      </c>
      <c r="AE26" s="13">
        <v>1167146</v>
      </c>
      <c r="AF26" s="10" t="s">
        <v>176</v>
      </c>
      <c r="AG26" s="13">
        <v>1322399</v>
      </c>
      <c r="AH26" s="13" t="s">
        <v>176</v>
      </c>
      <c r="AI26" s="13" t="s">
        <v>176</v>
      </c>
      <c r="AJ26" s="13" t="s">
        <v>176</v>
      </c>
      <c r="AK26" s="13" t="s">
        <v>176</v>
      </c>
      <c r="AL26" s="13" t="s">
        <v>176</v>
      </c>
      <c r="AM26" s="13" t="s">
        <v>176</v>
      </c>
      <c r="AN26" s="13" t="s">
        <v>176</v>
      </c>
      <c r="AO26" s="13" t="s">
        <v>176</v>
      </c>
      <c r="AP26" s="13" t="s">
        <v>176</v>
      </c>
      <c r="AQ26" s="13" t="s">
        <v>176</v>
      </c>
      <c r="AR26" s="13" t="s">
        <v>176</v>
      </c>
      <c r="AS26" s="13" t="s">
        <v>176</v>
      </c>
      <c r="AT26" s="13" t="s">
        <v>176</v>
      </c>
      <c r="AU26" s="13" t="s">
        <v>176</v>
      </c>
      <c r="AV26" s="13">
        <v>1542028</v>
      </c>
      <c r="AW26" s="13">
        <v>1512445</v>
      </c>
      <c r="AX26" s="13">
        <v>1670873</v>
      </c>
      <c r="AY26" s="13">
        <v>1808353</v>
      </c>
      <c r="AZ26" s="13">
        <v>1726692</v>
      </c>
      <c r="BA26" s="13">
        <v>1619601</v>
      </c>
      <c r="BB26" s="13">
        <v>1807330</v>
      </c>
      <c r="BC26" s="13">
        <v>1877151</v>
      </c>
      <c r="BD26" s="13">
        <v>1924355</v>
      </c>
      <c r="BE26" s="13">
        <v>1797977</v>
      </c>
      <c r="BF26" s="13">
        <v>1934902</v>
      </c>
      <c r="BG26" s="13">
        <v>2144760</v>
      </c>
    </row>
    <row r="27" spans="1:62" x14ac:dyDescent="0.2">
      <c r="A27" s="1" t="s">
        <v>170</v>
      </c>
      <c r="B27" s="1" t="s">
        <v>172</v>
      </c>
      <c r="C27" s="1" t="s">
        <v>60</v>
      </c>
      <c r="D27" s="1" t="s">
        <v>348</v>
      </c>
      <c r="E27" s="10" t="s">
        <v>176</v>
      </c>
      <c r="F27" s="10" t="s">
        <v>176</v>
      </c>
      <c r="G27" s="10" t="s">
        <v>176</v>
      </c>
      <c r="H27" s="10" t="s">
        <v>176</v>
      </c>
      <c r="I27" s="10" t="s">
        <v>176</v>
      </c>
      <c r="J27" s="10">
        <v>3560</v>
      </c>
      <c r="K27" s="10">
        <v>92916</v>
      </c>
      <c r="L27" s="13">
        <v>0</v>
      </c>
      <c r="M27" s="13">
        <v>21000</v>
      </c>
      <c r="N27" s="10" t="s">
        <v>176</v>
      </c>
      <c r="O27" s="13">
        <v>477553</v>
      </c>
      <c r="P27" s="10" t="s">
        <v>176</v>
      </c>
      <c r="Q27" s="13">
        <v>0</v>
      </c>
      <c r="R27" s="10" t="s">
        <v>176</v>
      </c>
      <c r="S27" s="13">
        <v>0</v>
      </c>
      <c r="T27" s="10" t="s">
        <v>176</v>
      </c>
      <c r="U27" s="13">
        <v>0</v>
      </c>
      <c r="V27" s="10" t="s">
        <v>176</v>
      </c>
      <c r="W27" s="10" t="s">
        <v>176</v>
      </c>
      <c r="X27" s="13" t="s">
        <v>176</v>
      </c>
      <c r="Y27" s="10" t="s">
        <v>176</v>
      </c>
      <c r="Z27" s="10" t="s">
        <v>176</v>
      </c>
      <c r="AA27" s="10" t="s">
        <v>176</v>
      </c>
      <c r="AB27" s="10" t="s">
        <v>176</v>
      </c>
      <c r="AC27" s="10" t="s">
        <v>176</v>
      </c>
      <c r="AD27" s="10" t="s">
        <v>176</v>
      </c>
      <c r="AE27" s="10" t="s">
        <v>176</v>
      </c>
      <c r="AF27" s="10" t="s">
        <v>176</v>
      </c>
      <c r="AG27" s="13" t="s">
        <v>176</v>
      </c>
      <c r="AH27" s="13" t="s">
        <v>176</v>
      </c>
      <c r="AI27" s="13" t="s">
        <v>176</v>
      </c>
      <c r="AJ27" s="13" t="s">
        <v>176</v>
      </c>
      <c r="AK27" s="13" t="s">
        <v>176</v>
      </c>
      <c r="AL27" s="13" t="s">
        <v>176</v>
      </c>
      <c r="AM27" s="13" t="s">
        <v>176</v>
      </c>
      <c r="AN27" s="13" t="s">
        <v>176</v>
      </c>
      <c r="AO27" s="13" t="s">
        <v>176</v>
      </c>
      <c r="AP27" s="13" t="s">
        <v>176</v>
      </c>
      <c r="AQ27" s="13" t="s">
        <v>176</v>
      </c>
      <c r="AR27" s="13" t="s">
        <v>176</v>
      </c>
      <c r="AS27" s="13" t="s">
        <v>176</v>
      </c>
      <c r="AT27" s="13" t="s">
        <v>176</v>
      </c>
      <c r="AU27" s="13" t="s">
        <v>176</v>
      </c>
      <c r="AV27" s="13" t="s">
        <v>176</v>
      </c>
      <c r="AW27" s="13" t="s">
        <v>176</v>
      </c>
      <c r="AX27" s="13" t="s">
        <v>176</v>
      </c>
      <c r="AY27" s="13" t="s">
        <v>176</v>
      </c>
      <c r="AZ27" s="13" t="s">
        <v>176</v>
      </c>
      <c r="BA27" s="13" t="s">
        <v>176</v>
      </c>
      <c r="BB27" s="13" t="s">
        <v>176</v>
      </c>
      <c r="BC27" s="13" t="s">
        <v>176</v>
      </c>
      <c r="BD27" s="13" t="s">
        <v>176</v>
      </c>
      <c r="BE27" s="13" t="s">
        <v>176</v>
      </c>
      <c r="BF27" s="13" t="s">
        <v>176</v>
      </c>
      <c r="BG27" s="13" t="s">
        <v>176</v>
      </c>
    </row>
    <row r="28" spans="1:62" x14ac:dyDescent="0.2">
      <c r="A28" s="1" t="s">
        <v>170</v>
      </c>
      <c r="B28" s="1" t="s">
        <v>172</v>
      </c>
      <c r="C28" s="1" t="s">
        <v>60</v>
      </c>
      <c r="D28" s="1" t="s">
        <v>412</v>
      </c>
      <c r="E28" s="10" t="s">
        <v>176</v>
      </c>
      <c r="F28" s="10" t="s">
        <v>176</v>
      </c>
      <c r="G28" s="10" t="s">
        <v>176</v>
      </c>
      <c r="H28" s="10" t="s">
        <v>176</v>
      </c>
      <c r="I28" s="10" t="s">
        <v>176</v>
      </c>
      <c r="J28" s="10" t="s">
        <v>176</v>
      </c>
      <c r="K28" s="10" t="s">
        <v>176</v>
      </c>
      <c r="L28" s="10" t="s">
        <v>176</v>
      </c>
      <c r="M28" s="10" t="s">
        <v>176</v>
      </c>
      <c r="N28" s="13">
        <v>0</v>
      </c>
      <c r="O28" s="10" t="s">
        <v>176</v>
      </c>
      <c r="P28" s="13">
        <v>183568</v>
      </c>
      <c r="Q28" s="10" t="s">
        <v>176</v>
      </c>
      <c r="R28" s="13">
        <v>120074</v>
      </c>
      <c r="S28" s="10" t="s">
        <v>176</v>
      </c>
      <c r="T28" s="13">
        <v>277743</v>
      </c>
      <c r="U28" s="10" t="s">
        <v>176</v>
      </c>
      <c r="V28" s="13">
        <v>317320</v>
      </c>
      <c r="W28" s="13">
        <v>59405</v>
      </c>
      <c r="X28" s="13">
        <v>55631</v>
      </c>
      <c r="Y28" s="13">
        <v>52133</v>
      </c>
      <c r="AA28" s="13">
        <v>87135</v>
      </c>
      <c r="AB28" s="13">
        <v>83091</v>
      </c>
      <c r="AC28" s="13">
        <v>83300</v>
      </c>
      <c r="AD28" s="13">
        <v>62981</v>
      </c>
      <c r="AE28" s="13">
        <v>103132</v>
      </c>
      <c r="AF28" s="10">
        <v>57133</v>
      </c>
      <c r="AG28" s="13">
        <v>126849</v>
      </c>
      <c r="AH28" s="13">
        <v>71102</v>
      </c>
      <c r="AI28" s="13">
        <v>16108</v>
      </c>
      <c r="AJ28" s="13">
        <v>11620</v>
      </c>
      <c r="AK28" s="13">
        <v>11069</v>
      </c>
      <c r="AL28" s="13">
        <v>18825</v>
      </c>
      <c r="AM28" s="13">
        <v>13527</v>
      </c>
      <c r="AN28" s="13">
        <v>14158</v>
      </c>
      <c r="AO28" s="13">
        <v>8203</v>
      </c>
      <c r="AP28" s="13">
        <v>4483</v>
      </c>
      <c r="AQ28" s="13">
        <v>10136</v>
      </c>
      <c r="AR28" s="13">
        <v>7997</v>
      </c>
      <c r="AS28" s="13">
        <v>18963</v>
      </c>
      <c r="AT28" s="13">
        <v>32827</v>
      </c>
      <c r="AU28" s="13">
        <v>122915</v>
      </c>
      <c r="AV28" s="13">
        <v>171106</v>
      </c>
      <c r="AW28" s="13">
        <v>145638</v>
      </c>
      <c r="AX28" s="13">
        <v>153585</v>
      </c>
      <c r="AY28" s="13">
        <v>158910</v>
      </c>
      <c r="AZ28" s="13">
        <v>127777</v>
      </c>
      <c r="BA28" s="13">
        <v>313776</v>
      </c>
      <c r="BB28" s="13">
        <v>0</v>
      </c>
      <c r="BC28" s="13" t="s">
        <v>176</v>
      </c>
      <c r="BD28" s="13" t="s">
        <v>176</v>
      </c>
      <c r="BE28" s="13" t="s">
        <v>176</v>
      </c>
      <c r="BF28" s="13" t="s">
        <v>176</v>
      </c>
      <c r="BG28" s="13" t="s">
        <v>176</v>
      </c>
    </row>
    <row r="29" spans="1:62" x14ac:dyDescent="0.2">
      <c r="A29" s="1" t="s">
        <v>170</v>
      </c>
      <c r="B29" s="1" t="s">
        <v>172</v>
      </c>
      <c r="C29" s="1" t="s">
        <v>60</v>
      </c>
      <c r="D29" s="1" t="s">
        <v>594</v>
      </c>
      <c r="E29" s="10" t="s">
        <v>176</v>
      </c>
      <c r="F29" s="10" t="s">
        <v>176</v>
      </c>
      <c r="G29" s="10" t="s">
        <v>176</v>
      </c>
      <c r="H29" s="10" t="s">
        <v>176</v>
      </c>
      <c r="I29" s="10" t="s">
        <v>176</v>
      </c>
      <c r="J29" s="10" t="s">
        <v>176</v>
      </c>
      <c r="K29" s="10" t="s">
        <v>176</v>
      </c>
      <c r="L29" s="10" t="s">
        <v>176</v>
      </c>
      <c r="M29" s="13">
        <v>0</v>
      </c>
      <c r="N29" s="13">
        <v>0</v>
      </c>
      <c r="O29" s="13">
        <v>0</v>
      </c>
      <c r="P29" s="13">
        <v>0</v>
      </c>
      <c r="Q29" s="13">
        <v>0</v>
      </c>
      <c r="R29" s="13">
        <v>383512</v>
      </c>
      <c r="S29" s="13">
        <v>377997</v>
      </c>
      <c r="T29" s="13">
        <v>216228</v>
      </c>
      <c r="U29" s="13">
        <v>220536</v>
      </c>
      <c r="V29" s="13">
        <v>246757</v>
      </c>
      <c r="W29" s="13">
        <v>288217</v>
      </c>
      <c r="X29" s="13">
        <v>381556</v>
      </c>
      <c r="Y29" s="13">
        <v>299800</v>
      </c>
      <c r="AA29" s="13">
        <v>296534</v>
      </c>
      <c r="AB29" s="13">
        <v>270130</v>
      </c>
      <c r="AC29" s="13">
        <v>320145</v>
      </c>
      <c r="AD29" s="13">
        <f>48666+246011</f>
        <v>294677</v>
      </c>
      <c r="AE29" s="13">
        <v>257182</v>
      </c>
      <c r="AF29" s="10">
        <f>55622+278669</f>
        <v>334291</v>
      </c>
      <c r="AG29" s="13">
        <v>316095</v>
      </c>
      <c r="AH29" s="13">
        <f>76503+257872</f>
        <v>334375</v>
      </c>
      <c r="AI29" s="13">
        <f>307489+63042</f>
        <v>370531</v>
      </c>
      <c r="AJ29" s="13">
        <f>311279+60567</f>
        <v>371846</v>
      </c>
      <c r="AK29" s="13">
        <f>343167+84592</f>
        <v>427759</v>
      </c>
      <c r="AL29" s="13">
        <f>107523+373305</f>
        <v>480828</v>
      </c>
      <c r="AM29" s="13">
        <f>62908+389091</f>
        <v>451999</v>
      </c>
      <c r="AN29" s="13">
        <f>89473+406820</f>
        <v>496293</v>
      </c>
      <c r="AO29" s="13">
        <f>73744+370261</f>
        <v>444005</v>
      </c>
      <c r="AP29" s="13">
        <f>58352+318411</f>
        <v>376763</v>
      </c>
      <c r="AQ29" s="13">
        <f>60218+302282</f>
        <v>362500</v>
      </c>
      <c r="AR29" s="13">
        <f>54759+317694</f>
        <v>372453</v>
      </c>
      <c r="AS29" s="13">
        <f>50963+367948</f>
        <v>418911</v>
      </c>
      <c r="AT29" s="13">
        <f>53524+380478</f>
        <v>434002</v>
      </c>
      <c r="AU29" s="13">
        <f>58329+358300</f>
        <v>416629</v>
      </c>
      <c r="AV29" s="13">
        <v>392445</v>
      </c>
      <c r="AW29" s="13">
        <v>454738</v>
      </c>
      <c r="AX29" s="13">
        <v>510610</v>
      </c>
      <c r="AY29" s="13">
        <v>558095</v>
      </c>
      <c r="AZ29" s="13">
        <v>548472</v>
      </c>
      <c r="BA29" s="13">
        <v>607519</v>
      </c>
      <c r="BB29" s="13">
        <v>572518</v>
      </c>
      <c r="BC29" s="13">
        <v>439635</v>
      </c>
      <c r="BD29" s="13">
        <v>350372</v>
      </c>
      <c r="BE29" s="13">
        <v>375862</v>
      </c>
      <c r="BF29" s="13">
        <v>413800</v>
      </c>
      <c r="BG29" s="13">
        <v>425576</v>
      </c>
    </row>
    <row r="30" spans="1:62" x14ac:dyDescent="0.2">
      <c r="A30" s="1" t="s">
        <v>170</v>
      </c>
      <c r="B30" s="1" t="s">
        <v>172</v>
      </c>
      <c r="C30" s="1" t="s">
        <v>60</v>
      </c>
      <c r="D30" s="1" t="s">
        <v>349</v>
      </c>
      <c r="E30" s="10" t="s">
        <v>176</v>
      </c>
      <c r="F30" s="10" t="s">
        <v>176</v>
      </c>
      <c r="G30" s="10" t="s">
        <v>176</v>
      </c>
      <c r="H30" s="10" t="s">
        <v>176</v>
      </c>
      <c r="I30" s="10" t="s">
        <v>176</v>
      </c>
      <c r="J30" s="10">
        <v>27988</v>
      </c>
      <c r="K30" s="10">
        <v>180416</v>
      </c>
      <c r="L30" s="13">
        <v>196072</v>
      </c>
      <c r="M30" s="13">
        <v>65415</v>
      </c>
      <c r="N30" s="13">
        <v>12963</v>
      </c>
      <c r="O30" s="13">
        <v>14963</v>
      </c>
      <c r="P30" s="13">
        <v>190303</v>
      </c>
      <c r="Q30" s="13">
        <v>4308</v>
      </c>
      <c r="R30" s="13">
        <v>62536</v>
      </c>
      <c r="S30" s="13">
        <v>87410</v>
      </c>
      <c r="T30" s="13">
        <v>73351</v>
      </c>
      <c r="U30" s="13">
        <v>51288</v>
      </c>
      <c r="V30" s="13">
        <v>80950</v>
      </c>
      <c r="W30" s="13">
        <v>0</v>
      </c>
      <c r="X30" s="13">
        <v>0</v>
      </c>
      <c r="Y30" s="13">
        <v>0</v>
      </c>
      <c r="AA30" s="13">
        <v>88911</v>
      </c>
      <c r="AB30" s="13">
        <v>11689</v>
      </c>
      <c r="AC30" s="13">
        <v>0</v>
      </c>
      <c r="AD30" s="13">
        <f>22983+18508</f>
        <v>41491</v>
      </c>
      <c r="AE30" s="13">
        <v>186300</v>
      </c>
      <c r="AF30" s="10">
        <f>18466+63+22764</f>
        <v>41293</v>
      </c>
      <c r="AG30" s="13" t="s">
        <v>176</v>
      </c>
      <c r="AH30" s="13">
        <f>20026+26095+0</f>
        <v>46121</v>
      </c>
      <c r="AI30" s="13">
        <f>19915+10186</f>
        <v>30101</v>
      </c>
      <c r="AJ30" s="13">
        <f>11388+11354+58421+17922</f>
        <v>99085</v>
      </c>
      <c r="AK30" s="13">
        <f>42094+10892</f>
        <v>52986</v>
      </c>
      <c r="AL30" s="13">
        <f>29068+12052</f>
        <v>41120</v>
      </c>
      <c r="AM30" s="13">
        <f>13079+19708</f>
        <v>32787</v>
      </c>
      <c r="AN30" s="13">
        <f>1580+10744</f>
        <v>12324</v>
      </c>
      <c r="AO30" s="13">
        <v>15129</v>
      </c>
      <c r="AP30" s="13">
        <v>19778</v>
      </c>
      <c r="AQ30" s="13">
        <v>20832</v>
      </c>
      <c r="AR30" s="13">
        <v>33634</v>
      </c>
      <c r="AS30" s="13">
        <v>55649</v>
      </c>
      <c r="AT30" s="13">
        <v>48039</v>
      </c>
      <c r="AU30" s="13">
        <v>59187</v>
      </c>
      <c r="AV30" s="13">
        <v>-17700</v>
      </c>
      <c r="AW30" s="13">
        <f>-953</f>
        <v>-953</v>
      </c>
      <c r="AX30" s="13">
        <v>0</v>
      </c>
      <c r="AY30" s="13">
        <v>0</v>
      </c>
      <c r="AZ30" s="13">
        <v>0</v>
      </c>
      <c r="BA30" s="13">
        <v>0</v>
      </c>
      <c r="BB30" s="13">
        <v>0</v>
      </c>
      <c r="BC30" s="13">
        <v>0</v>
      </c>
      <c r="BD30" s="13">
        <v>0</v>
      </c>
      <c r="BE30" s="13">
        <v>0</v>
      </c>
      <c r="BF30" s="13">
        <v>0</v>
      </c>
      <c r="BG30" s="13">
        <v>0</v>
      </c>
    </row>
    <row r="31" spans="1:62" x14ac:dyDescent="0.2">
      <c r="A31" s="1" t="s">
        <v>170</v>
      </c>
      <c r="B31" s="1" t="s">
        <v>172</v>
      </c>
      <c r="C31" s="1" t="s">
        <v>60</v>
      </c>
      <c r="D31" s="1" t="s">
        <v>394</v>
      </c>
      <c r="E31" s="10" t="s">
        <v>176</v>
      </c>
      <c r="F31" s="10" t="s">
        <v>176</v>
      </c>
      <c r="G31" s="10" t="s">
        <v>176</v>
      </c>
      <c r="H31" s="10" t="s">
        <v>176</v>
      </c>
      <c r="I31" s="10" t="s">
        <v>176</v>
      </c>
      <c r="J31" s="10" t="s">
        <v>176</v>
      </c>
      <c r="K31" s="10" t="s">
        <v>176</v>
      </c>
      <c r="L31" s="10" t="s">
        <v>176</v>
      </c>
      <c r="M31" s="13">
        <v>2250</v>
      </c>
      <c r="N31" s="13">
        <v>0</v>
      </c>
      <c r="O31" s="13">
        <v>2250</v>
      </c>
      <c r="P31" s="13">
        <v>90343</v>
      </c>
      <c r="Q31" s="13">
        <v>2250</v>
      </c>
      <c r="R31" s="13">
        <v>0</v>
      </c>
      <c r="S31" s="13">
        <v>2250</v>
      </c>
      <c r="T31" s="13">
        <v>0</v>
      </c>
      <c r="U31" s="13">
        <v>0</v>
      </c>
      <c r="V31" s="13">
        <v>0</v>
      </c>
      <c r="W31" s="13">
        <v>405201</v>
      </c>
      <c r="X31" s="13">
        <v>353030</v>
      </c>
      <c r="Y31" s="13">
        <v>325817</v>
      </c>
      <c r="AA31" s="13">
        <v>350113</v>
      </c>
      <c r="AB31" s="13">
        <v>497953</v>
      </c>
      <c r="AC31" s="13">
        <v>400562</v>
      </c>
      <c r="AD31" s="13">
        <v>0</v>
      </c>
      <c r="AE31" s="13">
        <v>434081</v>
      </c>
      <c r="AF31" s="10">
        <v>0</v>
      </c>
      <c r="AG31" s="13">
        <v>0</v>
      </c>
      <c r="AH31" s="13">
        <v>59321</v>
      </c>
      <c r="AI31" s="13">
        <v>60923</v>
      </c>
      <c r="AJ31" s="13" t="s">
        <v>176</v>
      </c>
      <c r="AK31" s="13">
        <v>70082</v>
      </c>
      <c r="AL31" s="13">
        <v>74523</v>
      </c>
      <c r="AM31" s="13">
        <v>80963</v>
      </c>
      <c r="AN31" s="13">
        <v>77494</v>
      </c>
      <c r="AO31" s="13">
        <v>75177</v>
      </c>
      <c r="AP31" s="13">
        <v>70164</v>
      </c>
      <c r="AQ31" s="13">
        <v>60948</v>
      </c>
      <c r="AR31" s="13">
        <v>50783</v>
      </c>
      <c r="AS31" s="13">
        <v>51721</v>
      </c>
      <c r="AT31" s="13">
        <v>49145</v>
      </c>
      <c r="AU31" s="13">
        <v>43729</v>
      </c>
      <c r="AV31" s="13">
        <v>468148</v>
      </c>
      <c r="AW31" s="13">
        <v>497193</v>
      </c>
      <c r="AX31" s="13">
        <v>549577</v>
      </c>
      <c r="AY31" s="13">
        <v>644124</v>
      </c>
      <c r="AZ31" s="13">
        <v>682319</v>
      </c>
      <c r="BA31" s="13">
        <v>746735</v>
      </c>
      <c r="BB31" s="13">
        <v>851698</v>
      </c>
      <c r="BC31" s="13">
        <v>856727</v>
      </c>
      <c r="BD31" s="13">
        <v>963888</v>
      </c>
      <c r="BE31" s="13">
        <v>994245</v>
      </c>
      <c r="BF31" s="13">
        <v>1020747</v>
      </c>
      <c r="BG31" s="13">
        <v>1058640</v>
      </c>
    </row>
    <row r="32" spans="1:62" x14ac:dyDescent="0.2">
      <c r="A32" s="1" t="s">
        <v>170</v>
      </c>
      <c r="B32" s="1" t="s">
        <v>172</v>
      </c>
      <c r="C32" s="1" t="s">
        <v>60</v>
      </c>
      <c r="D32" s="1" t="s">
        <v>643</v>
      </c>
      <c r="E32" s="10" t="s">
        <v>176</v>
      </c>
      <c r="F32" s="10" t="s">
        <v>176</v>
      </c>
      <c r="G32" s="10" t="s">
        <v>176</v>
      </c>
      <c r="H32" s="10" t="s">
        <v>176</v>
      </c>
      <c r="I32" s="10" t="s">
        <v>176</v>
      </c>
      <c r="J32" s="10" t="s">
        <v>176</v>
      </c>
      <c r="K32" s="10" t="s">
        <v>176</v>
      </c>
      <c r="L32" s="10" t="s">
        <v>176</v>
      </c>
      <c r="M32" s="10" t="s">
        <v>176</v>
      </c>
      <c r="N32" s="10" t="s">
        <v>176</v>
      </c>
      <c r="O32" s="10" t="s">
        <v>176</v>
      </c>
      <c r="P32" s="10" t="s">
        <v>176</v>
      </c>
      <c r="Q32" s="10" t="s">
        <v>176</v>
      </c>
      <c r="R32" s="10" t="s">
        <v>176</v>
      </c>
      <c r="S32" s="10" t="s">
        <v>176</v>
      </c>
      <c r="T32" s="10" t="s">
        <v>176</v>
      </c>
      <c r="U32" s="10" t="s">
        <v>176</v>
      </c>
      <c r="V32" s="10" t="s">
        <v>176</v>
      </c>
      <c r="W32" s="13">
        <v>120000</v>
      </c>
      <c r="X32" s="13">
        <f>81797+218577</f>
        <v>300374</v>
      </c>
      <c r="Y32" s="13">
        <f>39978+194400</f>
        <v>234378</v>
      </c>
      <c r="AA32" s="13">
        <v>237700</v>
      </c>
      <c r="AB32" s="13">
        <v>220303</v>
      </c>
      <c r="AC32" s="13">
        <v>237000</v>
      </c>
      <c r="AD32" s="13">
        <v>42896</v>
      </c>
      <c r="AE32" s="13">
        <v>241000</v>
      </c>
      <c r="AF32" s="10">
        <v>55181</v>
      </c>
      <c r="AG32" s="13">
        <v>245200</v>
      </c>
      <c r="AH32" s="13">
        <v>29178</v>
      </c>
      <c r="AI32" s="13">
        <v>25436</v>
      </c>
      <c r="AJ32" s="13">
        <f>16212+57476</f>
        <v>73688</v>
      </c>
      <c r="AK32" s="13">
        <v>60002</v>
      </c>
      <c r="AL32" s="13">
        <v>42959</v>
      </c>
      <c r="AM32" s="13">
        <v>47607</v>
      </c>
      <c r="AN32" s="13">
        <v>51176</v>
      </c>
      <c r="AO32" s="13">
        <v>80326</v>
      </c>
      <c r="AP32" s="13">
        <v>73302</v>
      </c>
      <c r="AQ32" s="13">
        <v>64755</v>
      </c>
      <c r="AR32" s="13">
        <v>81798</v>
      </c>
      <c r="AS32" s="13">
        <v>106620</v>
      </c>
      <c r="AT32" s="13">
        <v>87880</v>
      </c>
      <c r="AU32" s="13">
        <v>70077</v>
      </c>
      <c r="AV32" s="13">
        <v>257340</v>
      </c>
      <c r="AW32" s="13">
        <v>287331</v>
      </c>
      <c r="AX32" s="13">
        <v>287331</v>
      </c>
      <c r="AY32" s="13">
        <v>306669</v>
      </c>
      <c r="AZ32" s="13">
        <v>166000</v>
      </c>
      <c r="BA32" s="13">
        <v>387070</v>
      </c>
      <c r="BB32" s="13">
        <v>394237</v>
      </c>
      <c r="BC32" s="13">
        <v>350495</v>
      </c>
      <c r="BD32" s="13">
        <v>351888</v>
      </c>
      <c r="BE32" s="13">
        <v>376587</v>
      </c>
      <c r="BF32" s="13">
        <v>377191</v>
      </c>
      <c r="BG32" s="13">
        <v>395552</v>
      </c>
    </row>
    <row r="33" spans="1:62" x14ac:dyDescent="0.2">
      <c r="A33" s="1" t="s">
        <v>170</v>
      </c>
      <c r="B33" s="1" t="s">
        <v>172</v>
      </c>
      <c r="C33" s="1" t="s">
        <v>60</v>
      </c>
      <c r="D33" s="1" t="s">
        <v>535</v>
      </c>
      <c r="E33" s="10" t="s">
        <v>176</v>
      </c>
      <c r="F33" s="10" t="s">
        <v>176</v>
      </c>
      <c r="G33" s="10" t="s">
        <v>176</v>
      </c>
      <c r="H33" s="10" t="s">
        <v>176</v>
      </c>
      <c r="I33" s="10" t="s">
        <v>176</v>
      </c>
      <c r="J33" s="10" t="s">
        <v>176</v>
      </c>
      <c r="K33" s="10" t="s">
        <v>176</v>
      </c>
      <c r="L33" s="10" t="s">
        <v>176</v>
      </c>
      <c r="M33" s="10" t="s">
        <v>176</v>
      </c>
      <c r="N33" s="10" t="s">
        <v>176</v>
      </c>
      <c r="O33" s="10" t="s">
        <v>176</v>
      </c>
      <c r="P33" s="10" t="s">
        <v>176</v>
      </c>
      <c r="Q33" s="10" t="s">
        <v>176</v>
      </c>
      <c r="R33" s="10" t="s">
        <v>176</v>
      </c>
      <c r="S33" s="10" t="s">
        <v>176</v>
      </c>
      <c r="T33" s="10" t="s">
        <v>176</v>
      </c>
      <c r="U33" s="10" t="s">
        <v>176</v>
      </c>
      <c r="V33" s="10" t="s">
        <v>176</v>
      </c>
      <c r="W33" s="10" t="s">
        <v>176</v>
      </c>
      <c r="X33" s="10" t="s">
        <v>176</v>
      </c>
      <c r="Y33" s="10" t="s">
        <v>176</v>
      </c>
      <c r="Z33" s="10" t="s">
        <v>176</v>
      </c>
      <c r="AA33" s="10" t="s">
        <v>176</v>
      </c>
      <c r="AB33" s="10" t="s">
        <v>176</v>
      </c>
      <c r="AC33" s="10" t="s">
        <v>176</v>
      </c>
      <c r="AD33" s="10">
        <v>0</v>
      </c>
      <c r="AE33" s="10" t="s">
        <v>176</v>
      </c>
      <c r="AF33" s="10">
        <v>0</v>
      </c>
      <c r="AG33" s="10" t="s">
        <v>176</v>
      </c>
      <c r="AH33" s="10">
        <v>148124</v>
      </c>
      <c r="AI33" s="13">
        <v>0</v>
      </c>
      <c r="AJ33" s="10" t="s">
        <v>176</v>
      </c>
      <c r="AK33" s="10" t="s">
        <v>176</v>
      </c>
      <c r="AL33" s="10" t="s">
        <v>176</v>
      </c>
      <c r="AM33" s="10" t="s">
        <v>176</v>
      </c>
      <c r="AN33" s="10" t="s">
        <v>176</v>
      </c>
      <c r="AO33" s="10" t="s">
        <v>176</v>
      </c>
      <c r="AP33" s="10" t="s">
        <v>176</v>
      </c>
      <c r="AQ33" s="10" t="s">
        <v>176</v>
      </c>
      <c r="AR33" s="10" t="s">
        <v>176</v>
      </c>
      <c r="AS33" s="10" t="s">
        <v>176</v>
      </c>
      <c r="AT33" s="10" t="s">
        <v>176</v>
      </c>
      <c r="AU33" s="10" t="s">
        <v>176</v>
      </c>
      <c r="AV33" s="10" t="s">
        <v>176</v>
      </c>
      <c r="AW33" s="10" t="s">
        <v>176</v>
      </c>
      <c r="AX33" s="13" t="s">
        <v>176</v>
      </c>
      <c r="AY33" s="13" t="s">
        <v>176</v>
      </c>
      <c r="AZ33" s="13" t="s">
        <v>176</v>
      </c>
      <c r="BA33" s="13" t="s">
        <v>176</v>
      </c>
      <c r="BB33" s="13" t="s">
        <v>176</v>
      </c>
      <c r="BC33" s="13" t="s">
        <v>176</v>
      </c>
      <c r="BD33" s="13" t="s">
        <v>176</v>
      </c>
      <c r="BE33" s="13" t="s">
        <v>176</v>
      </c>
      <c r="BF33" s="13" t="s">
        <v>176</v>
      </c>
      <c r="BG33" s="13" t="s">
        <v>176</v>
      </c>
    </row>
    <row r="34" spans="1:62" x14ac:dyDescent="0.2">
      <c r="A34" s="1" t="s">
        <v>170</v>
      </c>
      <c r="B34" s="1" t="s">
        <v>172</v>
      </c>
      <c r="C34" s="1" t="s">
        <v>60</v>
      </c>
      <c r="D34" s="1" t="s">
        <v>350</v>
      </c>
      <c r="E34" s="10" t="s">
        <v>176</v>
      </c>
      <c r="F34" s="10" t="s">
        <v>176</v>
      </c>
      <c r="G34" s="10" t="s">
        <v>176</v>
      </c>
      <c r="H34" s="10" t="s">
        <v>176</v>
      </c>
      <c r="I34" s="10" t="s">
        <v>176</v>
      </c>
      <c r="J34" s="10">
        <v>45871</v>
      </c>
      <c r="K34" s="10">
        <v>298170</v>
      </c>
      <c r="L34" s="13">
        <v>870999</v>
      </c>
      <c r="M34" s="13" t="s">
        <v>176</v>
      </c>
      <c r="N34" s="13" t="s">
        <v>176</v>
      </c>
      <c r="O34" s="13" t="s">
        <v>176</v>
      </c>
      <c r="P34" s="13" t="s">
        <v>176</v>
      </c>
      <c r="Q34" s="10" t="s">
        <v>176</v>
      </c>
      <c r="R34" s="10" t="s">
        <v>176</v>
      </c>
      <c r="S34" s="10" t="s">
        <v>176</v>
      </c>
      <c r="T34" s="10" t="s">
        <v>176</v>
      </c>
      <c r="U34" s="10" t="s">
        <v>176</v>
      </c>
      <c r="V34" s="10" t="s">
        <v>176</v>
      </c>
      <c r="W34" s="10" t="s">
        <v>176</v>
      </c>
      <c r="X34" s="10" t="s">
        <v>176</v>
      </c>
      <c r="Y34" s="10" t="s">
        <v>176</v>
      </c>
      <c r="Z34" s="10" t="s">
        <v>176</v>
      </c>
      <c r="AA34" s="10" t="s">
        <v>176</v>
      </c>
      <c r="AB34" s="10" t="s">
        <v>176</v>
      </c>
      <c r="AC34" s="10" t="s">
        <v>176</v>
      </c>
      <c r="AD34" s="10">
        <v>0</v>
      </c>
      <c r="AE34" s="10" t="s">
        <v>176</v>
      </c>
      <c r="AF34" s="10">
        <v>132158</v>
      </c>
      <c r="AG34" s="13">
        <v>0</v>
      </c>
      <c r="AH34" s="13">
        <v>0</v>
      </c>
      <c r="AI34" s="13">
        <v>0</v>
      </c>
      <c r="AJ34" s="10" t="s">
        <v>176</v>
      </c>
      <c r="AK34" s="10" t="s">
        <v>176</v>
      </c>
      <c r="AL34" s="10" t="s">
        <v>176</v>
      </c>
      <c r="AM34" s="10" t="s">
        <v>176</v>
      </c>
      <c r="AN34" s="10" t="s">
        <v>176</v>
      </c>
      <c r="AO34" s="10" t="s">
        <v>176</v>
      </c>
      <c r="AP34" s="10" t="s">
        <v>176</v>
      </c>
      <c r="AQ34" s="10" t="s">
        <v>176</v>
      </c>
      <c r="AR34" s="10" t="s">
        <v>176</v>
      </c>
      <c r="AS34" s="10" t="s">
        <v>176</v>
      </c>
      <c r="AT34" s="10" t="s">
        <v>176</v>
      </c>
      <c r="AU34" s="10" t="s">
        <v>176</v>
      </c>
      <c r="AV34" s="10" t="s">
        <v>176</v>
      </c>
      <c r="AW34" s="10" t="s">
        <v>176</v>
      </c>
      <c r="AX34" s="13" t="s">
        <v>176</v>
      </c>
      <c r="AY34" s="13" t="s">
        <v>176</v>
      </c>
      <c r="AZ34" s="13" t="s">
        <v>176</v>
      </c>
      <c r="BA34" s="13" t="s">
        <v>176</v>
      </c>
      <c r="BB34" s="13" t="s">
        <v>176</v>
      </c>
      <c r="BC34" s="13" t="s">
        <v>176</v>
      </c>
      <c r="BD34" s="13" t="s">
        <v>176</v>
      </c>
      <c r="BE34" s="13" t="s">
        <v>176</v>
      </c>
      <c r="BF34" s="13" t="s">
        <v>176</v>
      </c>
      <c r="BG34" s="13" t="s">
        <v>176</v>
      </c>
    </row>
    <row r="35" spans="1:62" x14ac:dyDescent="0.2">
      <c r="A35" s="1" t="s">
        <v>170</v>
      </c>
      <c r="B35" s="1" t="s">
        <v>172</v>
      </c>
      <c r="C35" s="7" t="s">
        <v>60</v>
      </c>
      <c r="D35" s="7" t="s">
        <v>61</v>
      </c>
      <c r="E35" s="15">
        <f t="shared" ref="E35:AJ35" si="12">SUM(E19:E34)</f>
        <v>872558</v>
      </c>
      <c r="F35" s="15">
        <f t="shared" si="12"/>
        <v>892863</v>
      </c>
      <c r="G35" s="15">
        <f t="shared" si="12"/>
        <v>990361</v>
      </c>
      <c r="H35" s="15">
        <f t="shared" si="12"/>
        <v>1086192</v>
      </c>
      <c r="I35" s="15">
        <f t="shared" si="12"/>
        <v>1202507</v>
      </c>
      <c r="J35" s="15">
        <f t="shared" si="12"/>
        <v>1093175</v>
      </c>
      <c r="K35" s="15">
        <f t="shared" si="12"/>
        <v>1524781</v>
      </c>
      <c r="L35" s="15">
        <f t="shared" si="12"/>
        <v>2074638</v>
      </c>
      <c r="M35" s="15">
        <f t="shared" si="12"/>
        <v>1432812</v>
      </c>
      <c r="N35" s="15">
        <f t="shared" si="12"/>
        <v>1417035</v>
      </c>
      <c r="O35" s="15">
        <f t="shared" si="12"/>
        <v>2137866</v>
      </c>
      <c r="P35" s="15">
        <f t="shared" si="12"/>
        <v>1748108</v>
      </c>
      <c r="Q35" s="15">
        <f t="shared" si="12"/>
        <v>1562683</v>
      </c>
      <c r="R35" s="15">
        <f t="shared" si="12"/>
        <v>2122242</v>
      </c>
      <c r="S35" s="15">
        <f t="shared" si="12"/>
        <v>1598569</v>
      </c>
      <c r="T35" s="15">
        <f t="shared" si="12"/>
        <v>2622454</v>
      </c>
      <c r="U35" s="15">
        <f t="shared" si="12"/>
        <v>1540816</v>
      </c>
      <c r="V35" s="15">
        <f t="shared" si="12"/>
        <v>2658147</v>
      </c>
      <c r="W35" s="15">
        <f t="shared" si="12"/>
        <v>2406914</v>
      </c>
      <c r="X35" s="15">
        <f t="shared" si="12"/>
        <v>2759938</v>
      </c>
      <c r="Y35" s="15">
        <f t="shared" si="12"/>
        <v>2377457</v>
      </c>
      <c r="Z35" s="15">
        <f t="shared" si="12"/>
        <v>0</v>
      </c>
      <c r="AA35" s="15">
        <f t="shared" si="12"/>
        <v>2687297</v>
      </c>
      <c r="AB35" s="15">
        <f t="shared" si="12"/>
        <v>2774801</v>
      </c>
      <c r="AC35" s="15">
        <f t="shared" si="12"/>
        <v>2655252</v>
      </c>
      <c r="AD35" s="15">
        <f t="shared" si="12"/>
        <v>2833066</v>
      </c>
      <c r="AE35" s="15">
        <f t="shared" si="12"/>
        <v>2843633</v>
      </c>
      <c r="AF35" s="15">
        <f t="shared" si="12"/>
        <v>3196081</v>
      </c>
      <c r="AG35" s="15">
        <f t="shared" si="12"/>
        <v>2546139</v>
      </c>
      <c r="AH35" s="15">
        <f t="shared" si="12"/>
        <v>3138793</v>
      </c>
      <c r="AI35" s="15">
        <f t="shared" si="12"/>
        <v>3782178</v>
      </c>
      <c r="AJ35" s="15">
        <f t="shared" si="12"/>
        <v>4209588</v>
      </c>
      <c r="AK35" s="15">
        <f t="shared" ref="AK35" si="13">SUM(AK19:AK34)</f>
        <v>4086081</v>
      </c>
      <c r="AL35" s="15">
        <f t="shared" ref="AL35" si="14">SUM(AL19:AL34)</f>
        <v>4650831</v>
      </c>
      <c r="AM35" s="15">
        <f t="shared" ref="AM35" si="15">SUM(AM19:AM34)</f>
        <v>4111634</v>
      </c>
      <c r="AN35" s="15">
        <f t="shared" ref="AN35" si="16">SUM(AN19:AN34)</f>
        <v>4397630</v>
      </c>
      <c r="AO35" s="15">
        <f t="shared" ref="AO35" si="17">SUM(AO19:AO34)</f>
        <v>4274046</v>
      </c>
      <c r="AP35" s="15">
        <f t="shared" ref="AP35:AU35" si="18">SUM(AP19:AP34)</f>
        <v>5470838</v>
      </c>
      <c r="AQ35" s="15">
        <f t="shared" si="18"/>
        <v>5922376</v>
      </c>
      <c r="AR35" s="15">
        <f t="shared" si="18"/>
        <v>3846397</v>
      </c>
      <c r="AS35" s="15">
        <f t="shared" si="18"/>
        <v>4614929</v>
      </c>
      <c r="AT35" s="15">
        <f t="shared" si="18"/>
        <v>4589630</v>
      </c>
      <c r="AU35" s="15">
        <f t="shared" si="18"/>
        <v>4693037</v>
      </c>
      <c r="AV35" s="15">
        <f t="shared" ref="AV35:BJ35" si="19">SUM(AV19:AV34)</f>
        <v>3381973</v>
      </c>
      <c r="AW35" s="15">
        <f t="shared" si="19"/>
        <v>3564348</v>
      </c>
      <c r="AX35" s="15">
        <f t="shared" si="19"/>
        <v>3924663</v>
      </c>
      <c r="AY35" s="15">
        <f t="shared" si="19"/>
        <v>4300912</v>
      </c>
      <c r="AZ35" s="15">
        <f t="shared" si="19"/>
        <v>3949614</v>
      </c>
      <c r="BA35" s="15">
        <f t="shared" si="19"/>
        <v>4364533</v>
      </c>
      <c r="BB35" s="15">
        <f t="shared" si="19"/>
        <v>4150419</v>
      </c>
      <c r="BC35" s="15">
        <f t="shared" si="19"/>
        <v>4050888</v>
      </c>
      <c r="BD35" s="15">
        <f t="shared" si="19"/>
        <v>4104636</v>
      </c>
      <c r="BE35" s="15">
        <f t="shared" si="19"/>
        <v>4111899</v>
      </c>
      <c r="BF35" s="15">
        <f t="shared" si="19"/>
        <v>4304715</v>
      </c>
      <c r="BG35" s="15">
        <f t="shared" si="19"/>
        <v>4579302</v>
      </c>
      <c r="BH35" s="27">
        <f t="shared" si="19"/>
        <v>0</v>
      </c>
      <c r="BI35" s="27">
        <f t="shared" si="19"/>
        <v>0</v>
      </c>
      <c r="BJ35" s="27">
        <f t="shared" si="19"/>
        <v>0</v>
      </c>
    </row>
    <row r="36" spans="1:62" x14ac:dyDescent="0.2">
      <c r="A36" s="1" t="s">
        <v>170</v>
      </c>
      <c r="B36" s="1" t="s">
        <v>172</v>
      </c>
      <c r="C36" s="7" t="s">
        <v>62</v>
      </c>
      <c r="D36" s="7" t="s">
        <v>63</v>
      </c>
      <c r="E36" s="16">
        <f t="shared" ref="E36:AJ36" si="20">E18-E35</f>
        <v>277942</v>
      </c>
      <c r="F36" s="16">
        <f t="shared" si="20"/>
        <v>542817</v>
      </c>
      <c r="G36" s="16">
        <f t="shared" si="20"/>
        <v>529511</v>
      </c>
      <c r="H36" s="16">
        <f t="shared" si="20"/>
        <v>462824</v>
      </c>
      <c r="I36" s="16">
        <f t="shared" si="20"/>
        <v>440167</v>
      </c>
      <c r="J36" s="16">
        <f t="shared" si="20"/>
        <v>104084</v>
      </c>
      <c r="K36" s="16">
        <f t="shared" si="20"/>
        <v>72230</v>
      </c>
      <c r="L36" s="16">
        <f t="shared" si="20"/>
        <v>5006</v>
      </c>
      <c r="M36" s="16">
        <f t="shared" si="20"/>
        <v>145880</v>
      </c>
      <c r="N36" s="16">
        <f t="shared" si="20"/>
        <v>481061</v>
      </c>
      <c r="O36" s="16">
        <f t="shared" si="20"/>
        <v>-202122</v>
      </c>
      <c r="P36" s="16">
        <f t="shared" si="20"/>
        <v>717621</v>
      </c>
      <c r="Q36" s="16">
        <f t="shared" si="20"/>
        <v>401905</v>
      </c>
      <c r="R36" s="16">
        <f t="shared" si="20"/>
        <v>619464</v>
      </c>
      <c r="S36" s="16">
        <f t="shared" si="20"/>
        <v>692539</v>
      </c>
      <c r="T36" s="16">
        <f t="shared" si="20"/>
        <v>1269317</v>
      </c>
      <c r="U36" s="16">
        <f t="shared" si="20"/>
        <v>789684</v>
      </c>
      <c r="V36" s="16">
        <f t="shared" si="20"/>
        <v>2368901</v>
      </c>
      <c r="W36" s="16">
        <f t="shared" si="20"/>
        <v>862722</v>
      </c>
      <c r="X36" s="16">
        <f t="shared" si="20"/>
        <v>629875</v>
      </c>
      <c r="Y36" s="16">
        <f t="shared" si="20"/>
        <v>1186644</v>
      </c>
      <c r="Z36" s="16">
        <f t="shared" si="20"/>
        <v>0</v>
      </c>
      <c r="AA36" s="16">
        <f t="shared" si="20"/>
        <v>1644474</v>
      </c>
      <c r="AB36" s="16">
        <f t="shared" si="20"/>
        <v>1836631</v>
      </c>
      <c r="AC36" s="16">
        <f t="shared" si="20"/>
        <v>1587894</v>
      </c>
      <c r="AD36" s="16">
        <f t="shared" si="20"/>
        <v>2494087</v>
      </c>
      <c r="AE36" s="16">
        <f t="shared" si="20"/>
        <v>1013789</v>
      </c>
      <c r="AF36" s="16">
        <f t="shared" si="20"/>
        <v>2430830</v>
      </c>
      <c r="AG36" s="16">
        <f t="shared" si="20"/>
        <v>1428150</v>
      </c>
      <c r="AH36" s="16">
        <f t="shared" si="20"/>
        <v>3323945</v>
      </c>
      <c r="AI36" s="16">
        <f t="shared" si="20"/>
        <v>3161807</v>
      </c>
      <c r="AJ36" s="16">
        <f t="shared" si="20"/>
        <v>3547756</v>
      </c>
      <c r="AK36" s="16">
        <f t="shared" ref="AK36" si="21">AK18-AK35</f>
        <v>4737597</v>
      </c>
      <c r="AL36" s="16">
        <f t="shared" ref="AL36" si="22">AL18-AL35</f>
        <v>3500270</v>
      </c>
      <c r="AM36" s="16">
        <f t="shared" ref="AM36" si="23">AM18-AM35</f>
        <v>3966803</v>
      </c>
      <c r="AN36" s="16">
        <f t="shared" ref="AN36" si="24">AN18-AN35</f>
        <v>3945523</v>
      </c>
      <c r="AO36" s="16">
        <f t="shared" ref="AO36" si="25">AO18-AO35</f>
        <v>4277946</v>
      </c>
      <c r="AP36" s="16">
        <f t="shared" ref="AP36:AU36" si="26">AP18-AP35</f>
        <v>2552346</v>
      </c>
      <c r="AQ36" s="16">
        <f t="shared" si="26"/>
        <v>3563122</v>
      </c>
      <c r="AR36" s="16">
        <f t="shared" si="26"/>
        <v>4527354</v>
      </c>
      <c r="AS36" s="16">
        <f t="shared" si="26"/>
        <v>4498071</v>
      </c>
      <c r="AT36" s="16">
        <f t="shared" si="26"/>
        <v>4539954</v>
      </c>
      <c r="AU36" s="16">
        <f t="shared" si="26"/>
        <v>4445120</v>
      </c>
      <c r="AV36" s="16">
        <f t="shared" ref="AV36:BJ36" si="27">AV18-AV35</f>
        <v>912820</v>
      </c>
      <c r="AW36" s="16">
        <f t="shared" si="27"/>
        <v>1623791</v>
      </c>
      <c r="AX36" s="16">
        <f t="shared" si="27"/>
        <v>1642961</v>
      </c>
      <c r="AY36" s="16">
        <f t="shared" si="27"/>
        <v>1024443</v>
      </c>
      <c r="AZ36" s="16">
        <f t="shared" si="27"/>
        <v>1235776</v>
      </c>
      <c r="BA36" s="16">
        <f t="shared" si="27"/>
        <v>913464</v>
      </c>
      <c r="BB36" s="16">
        <f t="shared" si="27"/>
        <v>1898539</v>
      </c>
      <c r="BC36" s="16">
        <f>BC18-BC35</f>
        <v>2219756</v>
      </c>
      <c r="BD36" s="16">
        <f t="shared" si="27"/>
        <v>2288352</v>
      </c>
      <c r="BE36" s="16">
        <f t="shared" si="27"/>
        <v>2254784</v>
      </c>
      <c r="BF36" s="16">
        <f t="shared" si="27"/>
        <v>1940016</v>
      </c>
      <c r="BG36" s="16">
        <f t="shared" si="27"/>
        <v>1710407</v>
      </c>
      <c r="BH36" s="28">
        <f t="shared" si="27"/>
        <v>0</v>
      </c>
      <c r="BI36" s="28">
        <f t="shared" si="27"/>
        <v>0</v>
      </c>
      <c r="BJ36" s="28">
        <f t="shared" si="27"/>
        <v>0</v>
      </c>
    </row>
    <row r="37" spans="1:62" x14ac:dyDescent="0.2">
      <c r="A37" s="1" t="s">
        <v>170</v>
      </c>
      <c r="B37" s="1" t="s">
        <v>172</v>
      </c>
      <c r="C37" s="1" t="s">
        <v>62</v>
      </c>
      <c r="D37" s="1" t="s">
        <v>344</v>
      </c>
      <c r="E37" s="13">
        <v>12495</v>
      </c>
      <c r="F37" s="13">
        <v>23072</v>
      </c>
      <c r="G37" s="13">
        <v>9297</v>
      </c>
      <c r="H37" s="13">
        <v>6624</v>
      </c>
      <c r="I37" s="13">
        <v>30596</v>
      </c>
      <c r="J37" s="13">
        <v>9344</v>
      </c>
      <c r="K37" s="13">
        <v>28996</v>
      </c>
      <c r="L37" s="13">
        <v>46371</v>
      </c>
      <c r="M37" s="13">
        <v>49322</v>
      </c>
      <c r="N37" s="13">
        <v>11675</v>
      </c>
      <c r="O37" s="13">
        <v>12532</v>
      </c>
      <c r="P37" s="13">
        <v>355110</v>
      </c>
      <c r="Q37" s="13">
        <v>14899</v>
      </c>
      <c r="R37" s="13">
        <v>2148</v>
      </c>
      <c r="S37" s="13">
        <v>12504</v>
      </c>
      <c r="T37" s="13">
        <v>0</v>
      </c>
      <c r="U37" s="13">
        <v>0</v>
      </c>
      <c r="V37" s="13">
        <v>72</v>
      </c>
      <c r="W37" s="10" t="s">
        <v>176</v>
      </c>
      <c r="X37" s="10" t="s">
        <v>176</v>
      </c>
      <c r="Y37" s="10" t="s">
        <v>176</v>
      </c>
      <c r="Z37" s="10" t="s">
        <v>176</v>
      </c>
      <c r="AA37" s="10" t="s">
        <v>176</v>
      </c>
      <c r="AB37" s="10" t="s">
        <v>176</v>
      </c>
      <c r="AC37" s="10" t="s">
        <v>176</v>
      </c>
      <c r="AD37" s="10" t="s">
        <v>176</v>
      </c>
      <c r="AE37" s="10" t="s">
        <v>176</v>
      </c>
      <c r="AF37" s="10" t="s">
        <v>176</v>
      </c>
      <c r="AG37" s="13" t="s">
        <v>176</v>
      </c>
      <c r="AH37" s="10" t="s">
        <v>176</v>
      </c>
      <c r="AI37" s="10" t="s">
        <v>176</v>
      </c>
      <c r="AJ37" s="10" t="s">
        <v>176</v>
      </c>
      <c r="AK37" s="10" t="s">
        <v>176</v>
      </c>
      <c r="AL37" s="10" t="s">
        <v>176</v>
      </c>
      <c r="AM37" s="10" t="s">
        <v>176</v>
      </c>
      <c r="AN37" s="10" t="s">
        <v>176</v>
      </c>
      <c r="AO37" s="10" t="s">
        <v>176</v>
      </c>
      <c r="AP37" s="10">
        <v>35440</v>
      </c>
      <c r="AQ37" s="10">
        <v>15336</v>
      </c>
      <c r="AR37" s="10">
        <v>6117</v>
      </c>
      <c r="AS37" s="10">
        <v>5689</v>
      </c>
      <c r="AT37" s="10">
        <v>5390</v>
      </c>
      <c r="AU37" s="10">
        <v>55014</v>
      </c>
      <c r="AV37" s="10">
        <v>93615</v>
      </c>
      <c r="AW37" s="10">
        <v>293658</v>
      </c>
      <c r="AX37" s="13">
        <v>299537</v>
      </c>
      <c r="AY37" s="13">
        <v>330238</v>
      </c>
      <c r="AZ37" s="13">
        <v>230628</v>
      </c>
      <c r="BA37" s="13">
        <v>18268</v>
      </c>
      <c r="BB37" s="13">
        <v>37515</v>
      </c>
      <c r="BC37" s="13">
        <v>40503</v>
      </c>
      <c r="BD37" s="13">
        <v>29385</v>
      </c>
      <c r="BE37" s="13">
        <v>9595</v>
      </c>
      <c r="BF37" s="13">
        <v>8563</v>
      </c>
      <c r="BG37" s="13">
        <v>6609</v>
      </c>
    </row>
    <row r="38" spans="1:62" x14ac:dyDescent="0.2">
      <c r="A38" s="1" t="s">
        <v>170</v>
      </c>
      <c r="B38" s="1" t="s">
        <v>172</v>
      </c>
      <c r="C38" s="1" t="s">
        <v>62</v>
      </c>
      <c r="D38" s="1" t="s">
        <v>345</v>
      </c>
      <c r="E38" s="13" t="s">
        <v>176</v>
      </c>
      <c r="F38" s="13" t="s">
        <v>176</v>
      </c>
      <c r="G38" s="13" t="s">
        <v>176</v>
      </c>
      <c r="H38" s="13" t="s">
        <v>176</v>
      </c>
      <c r="I38" s="13" t="s">
        <v>176</v>
      </c>
      <c r="J38" s="13">
        <v>-9788</v>
      </c>
      <c r="K38" s="13">
        <v>0</v>
      </c>
      <c r="L38" s="13">
        <v>0</v>
      </c>
      <c r="M38" s="13">
        <v>-45788</v>
      </c>
      <c r="N38" s="13">
        <v>0</v>
      </c>
      <c r="O38" s="13">
        <v>0</v>
      </c>
      <c r="P38" s="13">
        <v>0</v>
      </c>
      <c r="Q38" s="13">
        <v>0</v>
      </c>
      <c r="R38" s="13">
        <v>0</v>
      </c>
      <c r="S38" s="13">
        <v>0</v>
      </c>
      <c r="T38" s="13">
        <v>-67532</v>
      </c>
      <c r="U38" s="13">
        <v>-6516</v>
      </c>
      <c r="V38" s="13">
        <v>-17634</v>
      </c>
      <c r="W38" s="10" t="s">
        <v>176</v>
      </c>
      <c r="X38" s="10" t="s">
        <v>176</v>
      </c>
      <c r="Y38" s="10" t="s">
        <v>176</v>
      </c>
      <c r="Z38" s="10" t="s">
        <v>176</v>
      </c>
      <c r="AA38" s="10" t="s">
        <v>176</v>
      </c>
      <c r="AB38" s="10" t="s">
        <v>176</v>
      </c>
      <c r="AC38" s="10" t="s">
        <v>176</v>
      </c>
      <c r="AD38" s="10" t="s">
        <v>176</v>
      </c>
      <c r="AE38" s="10" t="s">
        <v>176</v>
      </c>
      <c r="AF38" s="10" t="s">
        <v>176</v>
      </c>
      <c r="AG38" s="13" t="s">
        <v>176</v>
      </c>
      <c r="AH38" s="10" t="s">
        <v>176</v>
      </c>
      <c r="AI38" s="10" t="s">
        <v>176</v>
      </c>
      <c r="AJ38" s="10" t="s">
        <v>176</v>
      </c>
      <c r="AK38" s="10" t="s">
        <v>176</v>
      </c>
      <c r="AL38" s="10" t="s">
        <v>176</v>
      </c>
      <c r="AM38" s="10" t="s">
        <v>176</v>
      </c>
      <c r="AN38" s="10" t="s">
        <v>176</v>
      </c>
      <c r="AO38" s="10" t="s">
        <v>176</v>
      </c>
      <c r="AP38" s="10" t="s">
        <v>176</v>
      </c>
      <c r="AQ38" s="10" t="s">
        <v>176</v>
      </c>
      <c r="AR38" s="10" t="s">
        <v>176</v>
      </c>
      <c r="AS38" s="10" t="s">
        <v>176</v>
      </c>
      <c r="AT38" s="10" t="s">
        <v>176</v>
      </c>
      <c r="AU38" s="10" t="s">
        <v>176</v>
      </c>
      <c r="AV38" s="10">
        <v>-450965</v>
      </c>
      <c r="AW38" s="10">
        <v>-658964</v>
      </c>
      <c r="AX38" s="13">
        <v>-610200</v>
      </c>
      <c r="AY38" s="13">
        <v>-583423</v>
      </c>
      <c r="AZ38" s="13">
        <v>-733342</v>
      </c>
      <c r="BA38" s="13">
        <v>-878153</v>
      </c>
      <c r="BB38" s="13">
        <v>-705380</v>
      </c>
      <c r="BC38" s="13">
        <v>-670381</v>
      </c>
      <c r="BD38" s="13">
        <v>-517612</v>
      </c>
      <c r="BE38" s="13">
        <v>-536279</v>
      </c>
      <c r="BF38" s="13">
        <v>-510157</v>
      </c>
      <c r="BG38" s="13">
        <v>-477289</v>
      </c>
    </row>
    <row r="39" spans="1:62" x14ac:dyDescent="0.2">
      <c r="A39" s="1" t="s">
        <v>170</v>
      </c>
      <c r="B39" s="1" t="s">
        <v>172</v>
      </c>
      <c r="C39" s="1" t="s">
        <v>62</v>
      </c>
      <c r="D39" s="1" t="s">
        <v>279</v>
      </c>
      <c r="E39" s="13">
        <v>505</v>
      </c>
      <c r="F39" s="13">
        <v>0</v>
      </c>
      <c r="G39" s="13">
        <v>0</v>
      </c>
      <c r="H39" s="13">
        <v>7732</v>
      </c>
      <c r="I39" s="13">
        <v>0</v>
      </c>
      <c r="J39" s="10" t="s">
        <v>176</v>
      </c>
      <c r="K39" s="10" t="s">
        <v>176</v>
      </c>
      <c r="L39" s="10" t="s">
        <v>176</v>
      </c>
      <c r="M39" s="10" t="s">
        <v>176</v>
      </c>
      <c r="N39" s="10" t="s">
        <v>176</v>
      </c>
      <c r="O39" s="10" t="s">
        <v>176</v>
      </c>
      <c r="P39" s="10" t="s">
        <v>176</v>
      </c>
      <c r="Q39" s="10" t="s">
        <v>176</v>
      </c>
      <c r="R39" s="10" t="s">
        <v>176</v>
      </c>
      <c r="S39" s="10" t="s">
        <v>176</v>
      </c>
      <c r="T39" s="10" t="s">
        <v>176</v>
      </c>
      <c r="U39" s="10" t="s">
        <v>176</v>
      </c>
      <c r="V39" s="10" t="s">
        <v>176</v>
      </c>
      <c r="W39" s="10">
        <v>0</v>
      </c>
      <c r="X39" s="13">
        <v>12500</v>
      </c>
      <c r="Y39" s="13">
        <v>0</v>
      </c>
      <c r="AA39" s="13">
        <v>0</v>
      </c>
      <c r="AB39" s="13">
        <v>0</v>
      </c>
      <c r="AC39" s="13">
        <v>0</v>
      </c>
      <c r="AD39" s="10" t="s">
        <v>176</v>
      </c>
      <c r="AE39" s="13">
        <v>25000</v>
      </c>
      <c r="AF39" s="10" t="s">
        <v>176</v>
      </c>
      <c r="AG39" s="13">
        <v>0</v>
      </c>
      <c r="AH39" s="10" t="s">
        <v>176</v>
      </c>
      <c r="AI39" s="10" t="s">
        <v>176</v>
      </c>
      <c r="AJ39" s="10" t="s">
        <v>176</v>
      </c>
      <c r="AK39" s="10" t="s">
        <v>176</v>
      </c>
      <c r="AL39" s="10" t="s">
        <v>176</v>
      </c>
      <c r="AM39" s="10" t="s">
        <v>176</v>
      </c>
      <c r="AN39" s="10" t="s">
        <v>176</v>
      </c>
      <c r="AO39" s="10" t="s">
        <v>176</v>
      </c>
      <c r="AP39" s="10" t="s">
        <v>176</v>
      </c>
      <c r="AQ39" s="10" t="s">
        <v>176</v>
      </c>
      <c r="AR39" s="10" t="s">
        <v>176</v>
      </c>
      <c r="AS39" s="10" t="s">
        <v>176</v>
      </c>
      <c r="AT39" s="10" t="s">
        <v>176</v>
      </c>
      <c r="AU39" s="10" t="s">
        <v>176</v>
      </c>
      <c r="AV39" s="10" t="s">
        <v>176</v>
      </c>
      <c r="AW39" s="10" t="s">
        <v>176</v>
      </c>
      <c r="AX39" s="10" t="s">
        <v>176</v>
      </c>
      <c r="AY39" s="10" t="s">
        <v>176</v>
      </c>
      <c r="AZ39" s="10" t="s">
        <v>176</v>
      </c>
      <c r="BA39" s="10" t="s">
        <v>176</v>
      </c>
      <c r="BB39" s="10" t="s">
        <v>176</v>
      </c>
      <c r="BC39" s="10" t="s">
        <v>176</v>
      </c>
      <c r="BD39" s="10" t="s">
        <v>176</v>
      </c>
      <c r="BE39" s="10" t="s">
        <v>176</v>
      </c>
      <c r="BF39" s="10" t="s">
        <v>176</v>
      </c>
      <c r="BG39" s="10" t="s">
        <v>176</v>
      </c>
    </row>
    <row r="40" spans="1:62" x14ac:dyDescent="0.2">
      <c r="A40" s="1" t="s">
        <v>170</v>
      </c>
      <c r="B40" s="1" t="s">
        <v>172</v>
      </c>
      <c r="C40" s="1" t="s">
        <v>62</v>
      </c>
      <c r="D40" s="1" t="s">
        <v>276</v>
      </c>
      <c r="E40" s="13">
        <v>-10322</v>
      </c>
      <c r="F40" s="13">
        <v>-15084</v>
      </c>
      <c r="G40" s="13">
        <v>-18866</v>
      </c>
      <c r="H40" s="13">
        <v>-21000</v>
      </c>
      <c r="I40" s="13">
        <v>-21000</v>
      </c>
      <c r="J40" s="10" t="s">
        <v>176</v>
      </c>
      <c r="K40" s="10" t="s">
        <v>176</v>
      </c>
      <c r="L40" s="10" t="s">
        <v>176</v>
      </c>
      <c r="M40" s="10" t="s">
        <v>176</v>
      </c>
      <c r="N40" s="10" t="s">
        <v>176</v>
      </c>
      <c r="O40" s="10" t="s">
        <v>176</v>
      </c>
      <c r="P40" s="10" t="s">
        <v>176</v>
      </c>
      <c r="Q40" s="10" t="s">
        <v>176</v>
      </c>
      <c r="R40" s="10" t="s">
        <v>176</v>
      </c>
      <c r="S40" s="10" t="s">
        <v>176</v>
      </c>
      <c r="T40" s="10" t="s">
        <v>176</v>
      </c>
      <c r="U40" s="10" t="s">
        <v>176</v>
      </c>
      <c r="V40" s="10" t="s">
        <v>176</v>
      </c>
      <c r="W40" s="10" t="s">
        <v>176</v>
      </c>
      <c r="X40" s="10" t="s">
        <v>176</v>
      </c>
      <c r="Y40" s="10" t="s">
        <v>176</v>
      </c>
      <c r="Z40" s="10" t="s">
        <v>176</v>
      </c>
      <c r="AA40" s="10" t="s">
        <v>176</v>
      </c>
      <c r="AB40" s="10" t="s">
        <v>176</v>
      </c>
      <c r="AC40" s="10" t="s">
        <v>176</v>
      </c>
      <c r="AD40" s="10" t="s">
        <v>176</v>
      </c>
      <c r="AE40" s="10" t="s">
        <v>176</v>
      </c>
      <c r="AF40" s="10" t="s">
        <v>176</v>
      </c>
      <c r="AG40" s="10" t="s">
        <v>176</v>
      </c>
      <c r="AH40" s="10" t="s">
        <v>176</v>
      </c>
      <c r="AI40" s="10" t="s">
        <v>176</v>
      </c>
      <c r="AJ40" s="10" t="s">
        <v>176</v>
      </c>
      <c r="AK40" s="10" t="s">
        <v>176</v>
      </c>
      <c r="AL40" s="10" t="s">
        <v>176</v>
      </c>
      <c r="AM40" s="10" t="s">
        <v>176</v>
      </c>
      <c r="AN40" s="10" t="s">
        <v>176</v>
      </c>
      <c r="AO40" s="10" t="s">
        <v>176</v>
      </c>
      <c r="AP40" s="10" t="s">
        <v>176</v>
      </c>
      <c r="AQ40" s="10" t="s">
        <v>176</v>
      </c>
      <c r="AR40" s="10" t="s">
        <v>176</v>
      </c>
      <c r="AS40" s="10" t="s">
        <v>176</v>
      </c>
      <c r="AT40" s="10" t="s">
        <v>176</v>
      </c>
      <c r="AU40" s="10" t="s">
        <v>176</v>
      </c>
      <c r="AV40" s="10" t="s">
        <v>176</v>
      </c>
      <c r="AW40" s="10" t="s">
        <v>176</v>
      </c>
      <c r="AX40" s="10" t="s">
        <v>176</v>
      </c>
      <c r="AY40" s="10" t="s">
        <v>176</v>
      </c>
      <c r="AZ40" s="10" t="s">
        <v>176</v>
      </c>
      <c r="BA40" s="13">
        <v>0</v>
      </c>
      <c r="BB40" s="13">
        <v>-320785</v>
      </c>
      <c r="BC40" s="10" t="s">
        <v>176</v>
      </c>
      <c r="BD40" s="10" t="s">
        <v>176</v>
      </c>
      <c r="BE40" s="10" t="s">
        <v>176</v>
      </c>
      <c r="BF40" s="10" t="s">
        <v>176</v>
      </c>
      <c r="BG40" s="10" t="s">
        <v>176</v>
      </c>
    </row>
    <row r="41" spans="1:62" x14ac:dyDescent="0.2">
      <c r="A41" s="1" t="s">
        <v>170</v>
      </c>
      <c r="B41" s="1" t="s">
        <v>172</v>
      </c>
      <c r="C41" s="1" t="s">
        <v>62</v>
      </c>
      <c r="D41" s="1" t="s">
        <v>277</v>
      </c>
      <c r="E41" s="13">
        <v>-358800</v>
      </c>
      <c r="F41" s="13">
        <v>-358800</v>
      </c>
      <c r="G41" s="13">
        <v>-358800</v>
      </c>
      <c r="H41" s="13">
        <v>-358800</v>
      </c>
      <c r="I41" s="13">
        <v>-358800</v>
      </c>
      <c r="J41" s="10" t="s">
        <v>176</v>
      </c>
      <c r="K41" s="10" t="s">
        <v>176</v>
      </c>
      <c r="L41" s="10" t="s">
        <v>176</v>
      </c>
      <c r="M41" s="10" t="s">
        <v>176</v>
      </c>
      <c r="N41" s="10" t="s">
        <v>176</v>
      </c>
      <c r="O41" s="10" t="s">
        <v>176</v>
      </c>
      <c r="P41" s="10" t="s">
        <v>176</v>
      </c>
      <c r="Q41" s="10" t="s">
        <v>176</v>
      </c>
      <c r="R41" s="10" t="s">
        <v>176</v>
      </c>
      <c r="S41" s="10" t="s">
        <v>176</v>
      </c>
      <c r="T41" s="10" t="s">
        <v>176</v>
      </c>
      <c r="U41" s="10" t="s">
        <v>176</v>
      </c>
      <c r="V41" s="10" t="s">
        <v>176</v>
      </c>
      <c r="W41" s="10" t="s">
        <v>176</v>
      </c>
      <c r="X41" s="10" t="s">
        <v>176</v>
      </c>
      <c r="Y41" s="10" t="s">
        <v>176</v>
      </c>
      <c r="Z41" s="10" t="s">
        <v>176</v>
      </c>
      <c r="AA41" s="10" t="s">
        <v>176</v>
      </c>
      <c r="AB41" s="10" t="s">
        <v>176</v>
      </c>
      <c r="AC41" s="10" t="s">
        <v>176</v>
      </c>
      <c r="AD41" s="10">
        <f>-2546775</f>
        <v>-2546775</v>
      </c>
      <c r="AE41" s="10" t="s">
        <v>176</v>
      </c>
      <c r="AF41" s="10">
        <f>-2523752</f>
        <v>-2523752</v>
      </c>
      <c r="AG41" s="10" t="s">
        <v>176</v>
      </c>
      <c r="AH41" s="10">
        <v>-2492846</v>
      </c>
      <c r="AI41" s="13">
        <v>-2498923</v>
      </c>
      <c r="AJ41" s="13">
        <v>-2919270</v>
      </c>
      <c r="AK41" s="13">
        <v>-3083381</v>
      </c>
      <c r="AL41" s="13">
        <v>-3002386</v>
      </c>
      <c r="AM41" s="13">
        <v>-2771213</v>
      </c>
      <c r="AN41" s="13">
        <v>-2911792</v>
      </c>
      <c r="AO41" s="13">
        <v>-2879803</v>
      </c>
      <c r="AP41" s="13">
        <v>-2982849</v>
      </c>
      <c r="AQ41" s="13">
        <v>-2836712</v>
      </c>
      <c r="AR41" s="13">
        <v>-2890419</v>
      </c>
      <c r="AS41" s="13">
        <v>-2889483</v>
      </c>
      <c r="AT41" s="13">
        <v>-3062884</v>
      </c>
      <c r="AU41" s="13">
        <f>-2062601</f>
        <v>-2062601</v>
      </c>
      <c r="AV41" s="10" t="s">
        <v>176</v>
      </c>
      <c r="AW41" s="10" t="s">
        <v>176</v>
      </c>
      <c r="AX41" s="10" t="s">
        <v>176</v>
      </c>
      <c r="AY41" s="10" t="s">
        <v>176</v>
      </c>
      <c r="AZ41" s="10" t="s">
        <v>176</v>
      </c>
      <c r="BA41" s="10" t="s">
        <v>176</v>
      </c>
      <c r="BB41" s="10" t="s">
        <v>176</v>
      </c>
      <c r="BC41" s="10" t="s">
        <v>176</v>
      </c>
      <c r="BD41" s="10" t="s">
        <v>176</v>
      </c>
      <c r="BE41" s="10" t="s">
        <v>176</v>
      </c>
      <c r="BF41" s="10" t="s">
        <v>176</v>
      </c>
      <c r="BG41" s="10" t="s">
        <v>176</v>
      </c>
    </row>
    <row r="42" spans="1:62" x14ac:dyDescent="0.2">
      <c r="A42" s="1" t="s">
        <v>170</v>
      </c>
      <c r="B42" s="1" t="s">
        <v>172</v>
      </c>
      <c r="C42" s="1" t="s">
        <v>62</v>
      </c>
      <c r="D42" s="1" t="s">
        <v>278</v>
      </c>
      <c r="E42" s="13">
        <v>-29114</v>
      </c>
      <c r="F42" s="13">
        <v>-44210</v>
      </c>
      <c r="G42" s="13">
        <v>-29530</v>
      </c>
      <c r="H42" s="13">
        <v>-21355</v>
      </c>
      <c r="I42" s="13">
        <v>0</v>
      </c>
      <c r="J42" s="10" t="s">
        <v>176</v>
      </c>
      <c r="K42" s="10" t="s">
        <v>176</v>
      </c>
      <c r="L42" s="10" t="s">
        <v>176</v>
      </c>
      <c r="M42" s="10" t="s">
        <v>176</v>
      </c>
      <c r="N42" s="10" t="s">
        <v>176</v>
      </c>
      <c r="O42" s="10" t="s">
        <v>176</v>
      </c>
      <c r="P42" s="10" t="s">
        <v>176</v>
      </c>
      <c r="Q42" s="10" t="s">
        <v>176</v>
      </c>
      <c r="R42" s="10" t="s">
        <v>176</v>
      </c>
      <c r="S42" s="10" t="s">
        <v>176</v>
      </c>
      <c r="T42" s="10" t="s">
        <v>176</v>
      </c>
      <c r="U42" s="10" t="s">
        <v>176</v>
      </c>
      <c r="V42" s="10" t="s">
        <v>176</v>
      </c>
      <c r="W42" s="10" t="s">
        <v>176</v>
      </c>
      <c r="X42" s="10" t="s">
        <v>176</v>
      </c>
      <c r="Y42" s="10" t="s">
        <v>176</v>
      </c>
      <c r="Z42" s="10" t="s">
        <v>176</v>
      </c>
      <c r="AA42" s="10" t="s">
        <v>176</v>
      </c>
      <c r="AB42" s="10" t="s">
        <v>176</v>
      </c>
      <c r="AC42" s="10" t="s">
        <v>176</v>
      </c>
      <c r="AD42" s="10" t="s">
        <v>176</v>
      </c>
      <c r="AE42" s="10" t="s">
        <v>176</v>
      </c>
      <c r="AF42" s="10" t="s">
        <v>176</v>
      </c>
      <c r="AG42" s="10" t="s">
        <v>176</v>
      </c>
      <c r="AH42" s="10" t="s">
        <v>176</v>
      </c>
      <c r="AI42" s="10" t="s">
        <v>176</v>
      </c>
      <c r="AJ42" s="10" t="s">
        <v>176</v>
      </c>
      <c r="AK42" s="10" t="s">
        <v>176</v>
      </c>
      <c r="AL42" s="10" t="s">
        <v>176</v>
      </c>
      <c r="AM42" s="10" t="s">
        <v>176</v>
      </c>
      <c r="AN42" s="10" t="s">
        <v>176</v>
      </c>
      <c r="AO42" s="10" t="s">
        <v>176</v>
      </c>
      <c r="AP42" s="10" t="s">
        <v>176</v>
      </c>
      <c r="AQ42" s="10" t="s">
        <v>176</v>
      </c>
      <c r="AR42" s="10" t="s">
        <v>176</v>
      </c>
      <c r="AS42" s="10" t="s">
        <v>176</v>
      </c>
      <c r="AT42" s="10" t="s">
        <v>176</v>
      </c>
      <c r="AU42" s="10" t="s">
        <v>176</v>
      </c>
      <c r="AV42" s="10" t="s">
        <v>176</v>
      </c>
      <c r="AW42" s="10" t="s">
        <v>176</v>
      </c>
      <c r="AX42" s="10" t="s">
        <v>176</v>
      </c>
      <c r="AY42" s="10" t="s">
        <v>176</v>
      </c>
      <c r="AZ42" s="10" t="s">
        <v>176</v>
      </c>
      <c r="BA42" s="10" t="s">
        <v>176</v>
      </c>
      <c r="BB42" s="10" t="s">
        <v>176</v>
      </c>
      <c r="BC42" s="10" t="s">
        <v>176</v>
      </c>
      <c r="BD42" s="10" t="s">
        <v>176</v>
      </c>
      <c r="BE42" s="10" t="s">
        <v>176</v>
      </c>
      <c r="BF42" s="10" t="s">
        <v>176</v>
      </c>
      <c r="BG42" s="10" t="s">
        <v>176</v>
      </c>
    </row>
    <row r="43" spans="1:62" x14ac:dyDescent="0.2">
      <c r="A43" s="1" t="s">
        <v>170</v>
      </c>
      <c r="B43" s="1" t="s">
        <v>172</v>
      </c>
      <c r="C43" s="1" t="s">
        <v>62</v>
      </c>
      <c r="D43" s="1" t="s">
        <v>471</v>
      </c>
      <c r="E43" s="10" t="s">
        <v>176</v>
      </c>
      <c r="F43" s="10" t="s">
        <v>176</v>
      </c>
      <c r="G43" s="10" t="s">
        <v>176</v>
      </c>
      <c r="H43" s="10" t="s">
        <v>176</v>
      </c>
      <c r="I43" s="10" t="s">
        <v>176</v>
      </c>
      <c r="J43" s="10" t="s">
        <v>176</v>
      </c>
      <c r="K43" s="10" t="s">
        <v>176</v>
      </c>
      <c r="L43" s="10" t="s">
        <v>176</v>
      </c>
      <c r="M43" s="10" t="s">
        <v>176</v>
      </c>
      <c r="N43" s="10" t="s">
        <v>176</v>
      </c>
      <c r="O43" s="10" t="s">
        <v>176</v>
      </c>
      <c r="P43" s="10" t="s">
        <v>176</v>
      </c>
      <c r="Q43" s="10" t="s">
        <v>176</v>
      </c>
      <c r="R43" s="10" t="s">
        <v>176</v>
      </c>
      <c r="S43" s="10" t="s">
        <v>176</v>
      </c>
      <c r="T43" s="10" t="s">
        <v>176</v>
      </c>
      <c r="U43" s="10" t="s">
        <v>176</v>
      </c>
      <c r="V43" s="10" t="s">
        <v>176</v>
      </c>
      <c r="W43" s="10" t="s">
        <v>176</v>
      </c>
      <c r="X43" s="10" t="s">
        <v>176</v>
      </c>
      <c r="Y43" s="10" t="s">
        <v>176</v>
      </c>
      <c r="AA43" s="13">
        <v>0</v>
      </c>
      <c r="AB43" s="13">
        <v>-625</v>
      </c>
      <c r="AC43" s="13">
        <v>0</v>
      </c>
      <c r="AD43" s="10" t="s">
        <v>176</v>
      </c>
      <c r="AE43" s="13">
        <v>0</v>
      </c>
      <c r="AF43" s="10" t="s">
        <v>176</v>
      </c>
      <c r="AG43" s="13">
        <v>0</v>
      </c>
      <c r="AH43" s="10" t="s">
        <v>176</v>
      </c>
      <c r="AI43" s="10" t="s">
        <v>176</v>
      </c>
      <c r="AJ43" s="10" t="s">
        <v>176</v>
      </c>
      <c r="AK43" s="10" t="s">
        <v>176</v>
      </c>
      <c r="AL43" s="10" t="s">
        <v>176</v>
      </c>
      <c r="AM43" s="10" t="s">
        <v>176</v>
      </c>
      <c r="AN43" s="10" t="s">
        <v>176</v>
      </c>
      <c r="AO43" s="10" t="s">
        <v>176</v>
      </c>
      <c r="AP43" s="10" t="s">
        <v>176</v>
      </c>
      <c r="AQ43" s="10" t="s">
        <v>176</v>
      </c>
      <c r="AR43" s="10" t="s">
        <v>176</v>
      </c>
      <c r="AS43" s="10" t="s">
        <v>176</v>
      </c>
      <c r="AT43" s="10" t="s">
        <v>176</v>
      </c>
      <c r="AU43" s="10" t="s">
        <v>176</v>
      </c>
      <c r="AV43" s="10" t="s">
        <v>176</v>
      </c>
      <c r="AW43" s="10" t="s">
        <v>176</v>
      </c>
      <c r="AX43" s="10" t="s">
        <v>176</v>
      </c>
      <c r="AY43" s="10" t="s">
        <v>176</v>
      </c>
      <c r="AZ43" s="10" t="s">
        <v>176</v>
      </c>
      <c r="BA43" s="10" t="s">
        <v>176</v>
      </c>
      <c r="BB43" s="10" t="s">
        <v>176</v>
      </c>
      <c r="BC43" s="10">
        <v>0</v>
      </c>
      <c r="BD43" s="13">
        <v>0</v>
      </c>
      <c r="BE43" s="13">
        <v>0</v>
      </c>
      <c r="BF43" s="13">
        <v>0</v>
      </c>
      <c r="BG43" s="13">
        <v>-105032</v>
      </c>
    </row>
    <row r="44" spans="1:62" x14ac:dyDescent="0.2">
      <c r="A44" s="1" t="s">
        <v>170</v>
      </c>
      <c r="B44" s="1" t="s">
        <v>172</v>
      </c>
      <c r="C44" s="1" t="s">
        <v>62</v>
      </c>
      <c r="D44" s="1" t="s">
        <v>472</v>
      </c>
      <c r="E44" s="10" t="s">
        <v>176</v>
      </c>
      <c r="F44" s="10" t="s">
        <v>176</v>
      </c>
      <c r="G44" s="10" t="s">
        <v>176</v>
      </c>
      <c r="H44" s="10" t="s">
        <v>176</v>
      </c>
      <c r="I44" s="10" t="s">
        <v>176</v>
      </c>
      <c r="J44" s="10" t="s">
        <v>176</v>
      </c>
      <c r="K44" s="10" t="s">
        <v>176</v>
      </c>
      <c r="L44" s="10" t="s">
        <v>176</v>
      </c>
      <c r="M44" s="10" t="s">
        <v>176</v>
      </c>
      <c r="N44" s="10" t="s">
        <v>176</v>
      </c>
      <c r="O44" s="10" t="s">
        <v>176</v>
      </c>
      <c r="P44" s="10" t="s">
        <v>176</v>
      </c>
      <c r="Q44" s="10" t="s">
        <v>176</v>
      </c>
      <c r="R44" s="10" t="s">
        <v>176</v>
      </c>
      <c r="S44" s="10" t="s">
        <v>176</v>
      </c>
      <c r="T44" s="10" t="s">
        <v>176</v>
      </c>
      <c r="U44" s="10" t="s">
        <v>176</v>
      </c>
      <c r="V44" s="10" t="s">
        <v>176</v>
      </c>
      <c r="W44" s="10" t="s">
        <v>176</v>
      </c>
      <c r="X44" s="10" t="s">
        <v>176</v>
      </c>
      <c r="Y44" s="10" t="s">
        <v>176</v>
      </c>
      <c r="AA44" s="13">
        <v>0</v>
      </c>
      <c r="AB44" s="13">
        <v>0</v>
      </c>
      <c r="AC44" s="13">
        <v>0</v>
      </c>
      <c r="AD44" s="10" t="s">
        <v>176</v>
      </c>
      <c r="AE44" s="13">
        <v>2506986</v>
      </c>
      <c r="AF44" s="10" t="s">
        <v>176</v>
      </c>
      <c r="AG44" s="13">
        <v>17368</v>
      </c>
      <c r="AH44" s="10" t="s">
        <v>176</v>
      </c>
      <c r="AI44" s="10" t="s">
        <v>176</v>
      </c>
      <c r="AJ44" s="10" t="s">
        <v>176</v>
      </c>
      <c r="AK44" s="10" t="s">
        <v>176</v>
      </c>
      <c r="AL44" s="10" t="s">
        <v>176</v>
      </c>
      <c r="AM44" s="10" t="s">
        <v>176</v>
      </c>
      <c r="AN44" s="10" t="s">
        <v>176</v>
      </c>
      <c r="AO44" s="10" t="s">
        <v>176</v>
      </c>
      <c r="AP44" s="10" t="s">
        <v>176</v>
      </c>
      <c r="AQ44" s="10" t="s">
        <v>176</v>
      </c>
      <c r="AR44" s="10" t="s">
        <v>176</v>
      </c>
      <c r="AS44" s="10" t="s">
        <v>176</v>
      </c>
      <c r="AT44" s="10" t="s">
        <v>176</v>
      </c>
      <c r="AU44" s="10" t="s">
        <v>176</v>
      </c>
      <c r="AV44" s="10">
        <v>51172</v>
      </c>
      <c r="AW44" s="10">
        <v>28229</v>
      </c>
      <c r="AX44" s="13">
        <v>0</v>
      </c>
      <c r="AY44" s="13">
        <v>0</v>
      </c>
      <c r="AZ44" s="10" t="s">
        <v>176</v>
      </c>
      <c r="BA44" s="10" t="s">
        <v>176</v>
      </c>
      <c r="BB44" s="10" t="s">
        <v>176</v>
      </c>
      <c r="BC44" s="10">
        <v>10076</v>
      </c>
      <c r="BD44" s="13">
        <v>0</v>
      </c>
      <c r="BE44" s="13">
        <v>0</v>
      </c>
      <c r="BF44" s="13">
        <v>2800</v>
      </c>
      <c r="BG44" s="13">
        <v>0</v>
      </c>
    </row>
    <row r="45" spans="1:62" x14ac:dyDescent="0.2">
      <c r="A45" s="1" t="s">
        <v>170</v>
      </c>
      <c r="B45" s="1" t="s">
        <v>172</v>
      </c>
      <c r="C45" s="1" t="s">
        <v>62</v>
      </c>
      <c r="D45" s="1" t="s">
        <v>644</v>
      </c>
      <c r="E45" s="10" t="s">
        <v>176</v>
      </c>
      <c r="F45" s="10" t="s">
        <v>176</v>
      </c>
      <c r="G45" s="10" t="s">
        <v>176</v>
      </c>
      <c r="H45" s="10" t="s">
        <v>176</v>
      </c>
      <c r="I45" s="10" t="s">
        <v>176</v>
      </c>
      <c r="J45" s="10" t="s">
        <v>176</v>
      </c>
      <c r="K45" s="10" t="s">
        <v>176</v>
      </c>
      <c r="L45" s="10" t="s">
        <v>176</v>
      </c>
      <c r="M45" s="10" t="s">
        <v>176</v>
      </c>
      <c r="N45" s="10" t="s">
        <v>176</v>
      </c>
      <c r="O45" s="10" t="s">
        <v>176</v>
      </c>
      <c r="P45" s="10" t="s">
        <v>176</v>
      </c>
      <c r="Q45" s="10" t="s">
        <v>176</v>
      </c>
      <c r="R45" s="10" t="s">
        <v>176</v>
      </c>
      <c r="S45" s="10" t="s">
        <v>176</v>
      </c>
      <c r="T45" s="10" t="s">
        <v>176</v>
      </c>
      <c r="U45" s="10" t="s">
        <v>176</v>
      </c>
      <c r="V45" s="10" t="s">
        <v>176</v>
      </c>
      <c r="W45" s="10" t="s">
        <v>176</v>
      </c>
      <c r="X45" s="10" t="s">
        <v>176</v>
      </c>
      <c r="Y45" s="10" t="s">
        <v>176</v>
      </c>
      <c r="AA45" s="13">
        <v>0</v>
      </c>
      <c r="AB45" s="13">
        <v>0</v>
      </c>
      <c r="AC45" s="13">
        <v>0</v>
      </c>
      <c r="AD45" s="10" t="s">
        <v>176</v>
      </c>
      <c r="AE45" s="13">
        <v>4500</v>
      </c>
      <c r="AF45" s="10" t="s">
        <v>176</v>
      </c>
      <c r="AG45" s="13">
        <v>4500</v>
      </c>
      <c r="AH45" s="10" t="s">
        <v>176</v>
      </c>
      <c r="AI45" s="10" t="s">
        <v>176</v>
      </c>
      <c r="AJ45" s="10" t="s">
        <v>176</v>
      </c>
      <c r="AK45" s="10">
        <v>0</v>
      </c>
      <c r="AL45" s="10">
        <v>0</v>
      </c>
      <c r="AM45" s="10">
        <v>0</v>
      </c>
      <c r="AN45" s="10">
        <v>-1483862</v>
      </c>
      <c r="AO45" s="10">
        <v>0</v>
      </c>
      <c r="AP45" s="10">
        <v>0</v>
      </c>
      <c r="AQ45" s="10">
        <v>0</v>
      </c>
      <c r="AR45" s="10">
        <v>-500000</v>
      </c>
      <c r="AS45" s="10">
        <v>-800000</v>
      </c>
      <c r="AT45" s="10">
        <v>-800000</v>
      </c>
      <c r="AU45" s="10">
        <v>-1658317</v>
      </c>
      <c r="AV45" s="10" t="s">
        <v>176</v>
      </c>
      <c r="AW45" s="10" t="s">
        <v>176</v>
      </c>
      <c r="AX45" s="10" t="s">
        <v>176</v>
      </c>
      <c r="AY45" s="10" t="s">
        <v>176</v>
      </c>
      <c r="AZ45" s="10" t="s">
        <v>176</v>
      </c>
      <c r="BA45" s="10" t="s">
        <v>176</v>
      </c>
      <c r="BB45" s="10" t="s">
        <v>176</v>
      </c>
      <c r="BC45" s="10">
        <v>0</v>
      </c>
      <c r="BD45" s="13">
        <v>0</v>
      </c>
      <c r="BE45" s="13">
        <v>0</v>
      </c>
      <c r="BF45" s="13">
        <v>0</v>
      </c>
      <c r="BG45" s="13">
        <v>-35286</v>
      </c>
    </row>
    <row r="46" spans="1:62" x14ac:dyDescent="0.2">
      <c r="A46" s="1" t="s">
        <v>170</v>
      </c>
      <c r="B46" s="1" t="s">
        <v>172</v>
      </c>
      <c r="C46" s="1" t="s">
        <v>62</v>
      </c>
      <c r="D46" s="1" t="s">
        <v>473</v>
      </c>
      <c r="E46" s="10" t="s">
        <v>176</v>
      </c>
      <c r="F46" s="10" t="s">
        <v>176</v>
      </c>
      <c r="G46" s="10" t="s">
        <v>176</v>
      </c>
      <c r="H46" s="10" t="s">
        <v>176</v>
      </c>
      <c r="I46" s="10" t="s">
        <v>176</v>
      </c>
      <c r="J46" s="10" t="s">
        <v>176</v>
      </c>
      <c r="K46" s="10" t="s">
        <v>176</v>
      </c>
      <c r="L46" s="10" t="s">
        <v>176</v>
      </c>
      <c r="M46" s="10" t="s">
        <v>176</v>
      </c>
      <c r="N46" s="10" t="s">
        <v>176</v>
      </c>
      <c r="O46" s="10" t="s">
        <v>176</v>
      </c>
      <c r="P46" s="10" t="s">
        <v>176</v>
      </c>
      <c r="Q46" s="10" t="s">
        <v>176</v>
      </c>
      <c r="R46" s="10" t="s">
        <v>176</v>
      </c>
      <c r="S46" s="10" t="s">
        <v>176</v>
      </c>
      <c r="T46" s="10" t="s">
        <v>176</v>
      </c>
      <c r="U46" s="10" t="s">
        <v>176</v>
      </c>
      <c r="V46" s="10" t="s">
        <v>176</v>
      </c>
      <c r="W46" s="10" t="s">
        <v>176</v>
      </c>
      <c r="X46" s="10" t="s">
        <v>176</v>
      </c>
      <c r="Y46" s="10" t="s">
        <v>176</v>
      </c>
      <c r="AA46" s="13">
        <v>-96279</v>
      </c>
      <c r="AB46" s="13">
        <v>0</v>
      </c>
      <c r="AC46" s="13">
        <v>-10005</v>
      </c>
      <c r="AD46" s="10" t="s">
        <v>176</v>
      </c>
      <c r="AE46" s="13" t="s">
        <v>440</v>
      </c>
      <c r="AF46" s="10" t="s">
        <v>176</v>
      </c>
      <c r="AG46" s="13">
        <v>0</v>
      </c>
      <c r="AH46" s="10" t="s">
        <v>176</v>
      </c>
      <c r="AI46" s="10" t="s">
        <v>176</v>
      </c>
      <c r="AJ46" s="10" t="s">
        <v>176</v>
      </c>
      <c r="AK46" s="10" t="s">
        <v>176</v>
      </c>
      <c r="AL46" s="10" t="s">
        <v>176</v>
      </c>
      <c r="AM46" s="10" t="s">
        <v>176</v>
      </c>
      <c r="AN46" s="10" t="s">
        <v>176</v>
      </c>
      <c r="AO46" s="10" t="s">
        <v>176</v>
      </c>
      <c r="AP46" s="10" t="s">
        <v>176</v>
      </c>
      <c r="AQ46" s="10">
        <v>0</v>
      </c>
      <c r="AR46" s="10">
        <v>0</v>
      </c>
      <c r="AS46" s="10">
        <v>0</v>
      </c>
      <c r="AT46" s="10">
        <v>-22900</v>
      </c>
      <c r="AU46" s="10">
        <v>-5544</v>
      </c>
      <c r="AV46" s="10">
        <v>-26813</v>
      </c>
      <c r="AW46" s="10">
        <v>-45765</v>
      </c>
      <c r="AX46" s="13">
        <v>0</v>
      </c>
      <c r="AY46" s="13">
        <v>0</v>
      </c>
      <c r="AZ46" s="13">
        <v>0</v>
      </c>
      <c r="BA46" s="13">
        <v>0</v>
      </c>
      <c r="BB46" s="13">
        <v>0</v>
      </c>
      <c r="BC46" s="13">
        <v>0</v>
      </c>
      <c r="BD46" s="13">
        <v>-84429</v>
      </c>
      <c r="BE46" s="13">
        <v>0</v>
      </c>
      <c r="BF46" s="13">
        <v>0</v>
      </c>
      <c r="BG46" s="13">
        <v>-22900</v>
      </c>
    </row>
    <row r="47" spans="1:62" x14ac:dyDescent="0.2">
      <c r="A47" s="1" t="s">
        <v>170</v>
      </c>
      <c r="B47" s="1" t="s">
        <v>172</v>
      </c>
      <c r="C47" s="1" t="s">
        <v>62</v>
      </c>
      <c r="D47" s="1" t="s">
        <v>474</v>
      </c>
      <c r="E47" s="10" t="s">
        <v>176</v>
      </c>
      <c r="F47" s="10" t="s">
        <v>176</v>
      </c>
      <c r="G47" s="10" t="s">
        <v>176</v>
      </c>
      <c r="H47" s="10" t="s">
        <v>176</v>
      </c>
      <c r="I47" s="10" t="s">
        <v>176</v>
      </c>
      <c r="J47" s="10" t="s">
        <v>176</v>
      </c>
      <c r="K47" s="10" t="s">
        <v>176</v>
      </c>
      <c r="L47" s="10" t="s">
        <v>176</v>
      </c>
      <c r="M47" s="10" t="s">
        <v>176</v>
      </c>
      <c r="N47" s="10" t="s">
        <v>176</v>
      </c>
      <c r="O47" s="10" t="s">
        <v>176</v>
      </c>
      <c r="P47" s="10" t="s">
        <v>176</v>
      </c>
      <c r="Q47" s="10" t="s">
        <v>176</v>
      </c>
      <c r="R47" s="10" t="s">
        <v>176</v>
      </c>
      <c r="S47" s="10" t="s">
        <v>176</v>
      </c>
      <c r="T47" s="10" t="s">
        <v>176</v>
      </c>
      <c r="U47" s="10" t="s">
        <v>176</v>
      </c>
      <c r="V47" s="10" t="s">
        <v>176</v>
      </c>
      <c r="W47" s="10" t="s">
        <v>176</v>
      </c>
      <c r="X47" s="10" t="s">
        <v>176</v>
      </c>
      <c r="Y47" s="10" t="s">
        <v>176</v>
      </c>
      <c r="AA47" s="13">
        <v>0</v>
      </c>
      <c r="AB47" s="13">
        <v>54616</v>
      </c>
      <c r="AC47" s="13">
        <v>0</v>
      </c>
      <c r="AD47" s="10" t="s">
        <v>176</v>
      </c>
      <c r="AE47" s="13">
        <v>10005</v>
      </c>
      <c r="AF47" s="10" t="s">
        <v>176</v>
      </c>
      <c r="AG47" s="13">
        <v>3881</v>
      </c>
      <c r="AH47" s="10" t="s">
        <v>176</v>
      </c>
      <c r="AI47" s="10" t="s">
        <v>176</v>
      </c>
      <c r="AJ47" s="10" t="s">
        <v>176</v>
      </c>
      <c r="AK47" s="10" t="s">
        <v>176</v>
      </c>
      <c r="AL47" s="10" t="s">
        <v>176</v>
      </c>
      <c r="AM47" s="10" t="s">
        <v>176</v>
      </c>
      <c r="AN47" s="10" t="s">
        <v>176</v>
      </c>
      <c r="AO47" s="10" t="s">
        <v>176</v>
      </c>
      <c r="AP47" s="10">
        <v>73777</v>
      </c>
      <c r="AQ47" s="10">
        <v>55226</v>
      </c>
      <c r="AR47" s="10">
        <v>77070</v>
      </c>
      <c r="AS47" s="10">
        <v>57751</v>
      </c>
      <c r="AT47" s="10">
        <v>200795</v>
      </c>
      <c r="AU47" s="10">
        <v>62489</v>
      </c>
      <c r="AV47" s="10">
        <v>0</v>
      </c>
      <c r="AW47" s="10">
        <v>0</v>
      </c>
      <c r="AX47" s="13">
        <v>6219</v>
      </c>
      <c r="AY47" s="13">
        <v>0</v>
      </c>
      <c r="AZ47" s="13">
        <v>0</v>
      </c>
      <c r="BA47" s="13">
        <v>0</v>
      </c>
      <c r="BB47" s="13">
        <v>0</v>
      </c>
      <c r="BC47" s="13">
        <v>0</v>
      </c>
      <c r="BD47" s="13">
        <v>0</v>
      </c>
      <c r="BE47" s="13">
        <v>17560</v>
      </c>
      <c r="BF47" s="13">
        <v>0</v>
      </c>
      <c r="BG47" s="13">
        <v>0</v>
      </c>
    </row>
    <row r="48" spans="1:62" x14ac:dyDescent="0.2">
      <c r="A48" s="1" t="s">
        <v>170</v>
      </c>
      <c r="B48" s="1" t="s">
        <v>172</v>
      </c>
      <c r="C48" s="1" t="s">
        <v>62</v>
      </c>
      <c r="D48" s="1" t="s">
        <v>395</v>
      </c>
      <c r="E48" s="13" t="s">
        <v>176</v>
      </c>
      <c r="F48" s="13" t="s">
        <v>176</v>
      </c>
      <c r="G48" s="13" t="s">
        <v>176</v>
      </c>
      <c r="H48" s="13" t="s">
        <v>176</v>
      </c>
      <c r="I48" s="13" t="s">
        <v>176</v>
      </c>
      <c r="J48" s="13" t="s">
        <v>176</v>
      </c>
      <c r="K48" s="13" t="s">
        <v>176</v>
      </c>
      <c r="L48" s="13" t="s">
        <v>176</v>
      </c>
      <c r="M48" s="10">
        <v>0</v>
      </c>
      <c r="N48" s="10">
        <v>-1402525</v>
      </c>
      <c r="O48" s="13">
        <v>0</v>
      </c>
      <c r="P48" s="10">
        <v>-2066562</v>
      </c>
      <c r="Q48" s="13">
        <v>-486894</v>
      </c>
      <c r="R48" s="10">
        <v>-1340564</v>
      </c>
      <c r="S48" s="13">
        <v>-608109</v>
      </c>
      <c r="T48" s="10">
        <v>-1945920</v>
      </c>
      <c r="U48" s="13">
        <v>-644925</v>
      </c>
      <c r="V48" s="10">
        <v>-2338918</v>
      </c>
      <c r="W48" s="10">
        <v>-939150</v>
      </c>
      <c r="X48" s="13">
        <v>-712083</v>
      </c>
      <c r="Y48" s="13">
        <v>-704498</v>
      </c>
      <c r="AA48" s="13">
        <v>-639669</v>
      </c>
      <c r="AB48" s="13">
        <v>-636578</v>
      </c>
      <c r="AC48" s="13">
        <v>-544606</v>
      </c>
      <c r="AD48" s="10" t="s">
        <v>176</v>
      </c>
      <c r="AE48" s="13">
        <v>-529765</v>
      </c>
      <c r="AF48" s="10" t="s">
        <v>176</v>
      </c>
      <c r="AG48" s="13">
        <v>-643975</v>
      </c>
      <c r="AH48" s="10" t="s">
        <v>176</v>
      </c>
      <c r="AI48" s="10" t="s">
        <v>176</v>
      </c>
      <c r="AJ48" s="10" t="s">
        <v>176</v>
      </c>
      <c r="AK48" s="10" t="s">
        <v>176</v>
      </c>
      <c r="AL48" s="10" t="s">
        <v>176</v>
      </c>
      <c r="AM48" s="10" t="s">
        <v>176</v>
      </c>
      <c r="AN48" s="10" t="s">
        <v>176</v>
      </c>
      <c r="AO48" s="10" t="s">
        <v>176</v>
      </c>
      <c r="AP48" s="10" t="s">
        <v>176</v>
      </c>
      <c r="AQ48" s="10" t="s">
        <v>176</v>
      </c>
      <c r="AR48" s="10" t="s">
        <v>176</v>
      </c>
      <c r="AS48" s="10" t="s">
        <v>176</v>
      </c>
      <c r="AT48" s="10" t="s">
        <v>176</v>
      </c>
      <c r="AU48" s="10" t="s">
        <v>176</v>
      </c>
      <c r="AV48" s="10" t="s">
        <v>176</v>
      </c>
      <c r="AW48" s="10" t="s">
        <v>176</v>
      </c>
      <c r="AX48" s="10" t="s">
        <v>176</v>
      </c>
      <c r="AY48" s="10" t="s">
        <v>176</v>
      </c>
      <c r="AZ48" s="10" t="s">
        <v>176</v>
      </c>
      <c r="BA48" s="10" t="s">
        <v>176</v>
      </c>
      <c r="BB48" s="10" t="s">
        <v>176</v>
      </c>
      <c r="BC48" s="10" t="s">
        <v>176</v>
      </c>
      <c r="BD48" s="10" t="s">
        <v>176</v>
      </c>
      <c r="BE48" s="10" t="s">
        <v>176</v>
      </c>
      <c r="BF48" s="10" t="s">
        <v>176</v>
      </c>
      <c r="BG48" s="10" t="s">
        <v>176</v>
      </c>
    </row>
    <row r="49" spans="1:63" x14ac:dyDescent="0.2">
      <c r="A49" s="1" t="s">
        <v>170</v>
      </c>
      <c r="B49" s="1" t="s">
        <v>172</v>
      </c>
      <c r="C49" s="1" t="s">
        <v>62</v>
      </c>
      <c r="D49" s="1" t="s">
        <v>718</v>
      </c>
      <c r="E49" s="10" t="s">
        <v>176</v>
      </c>
      <c r="F49" s="10" t="s">
        <v>176</v>
      </c>
      <c r="G49" s="10" t="s">
        <v>176</v>
      </c>
      <c r="H49" s="10" t="s">
        <v>176</v>
      </c>
      <c r="I49" s="10" t="s">
        <v>176</v>
      </c>
      <c r="J49" s="10" t="s">
        <v>176</v>
      </c>
      <c r="K49" s="10" t="s">
        <v>176</v>
      </c>
      <c r="L49" s="10" t="s">
        <v>176</v>
      </c>
      <c r="M49" s="10" t="s">
        <v>176</v>
      </c>
      <c r="N49" s="10" t="s">
        <v>176</v>
      </c>
      <c r="O49" s="10" t="s">
        <v>176</v>
      </c>
      <c r="P49" s="10" t="s">
        <v>176</v>
      </c>
      <c r="Q49" s="10" t="s">
        <v>176</v>
      </c>
      <c r="R49" s="10" t="s">
        <v>176</v>
      </c>
      <c r="S49" s="10" t="s">
        <v>176</v>
      </c>
      <c r="T49" s="10" t="s">
        <v>176</v>
      </c>
      <c r="U49" s="10" t="s">
        <v>176</v>
      </c>
      <c r="V49" s="10" t="s">
        <v>176</v>
      </c>
      <c r="W49" s="10" t="s">
        <v>176</v>
      </c>
      <c r="X49" s="10" t="s">
        <v>176</v>
      </c>
      <c r="Y49" s="10" t="s">
        <v>176</v>
      </c>
      <c r="Z49" s="10" t="s">
        <v>176</v>
      </c>
      <c r="AA49" s="10" t="s">
        <v>176</v>
      </c>
      <c r="AB49" s="10" t="s">
        <v>176</v>
      </c>
      <c r="AC49" s="10" t="s">
        <v>176</v>
      </c>
      <c r="AD49" s="10" t="s">
        <v>176</v>
      </c>
      <c r="AE49" s="10" t="s">
        <v>176</v>
      </c>
      <c r="AF49" s="10" t="s">
        <v>176</v>
      </c>
      <c r="AG49" s="10" t="s">
        <v>176</v>
      </c>
      <c r="AH49" s="10" t="s">
        <v>176</v>
      </c>
      <c r="AI49" s="10" t="s">
        <v>176</v>
      </c>
      <c r="AJ49" s="10" t="s">
        <v>176</v>
      </c>
      <c r="AK49" s="10" t="s">
        <v>176</v>
      </c>
      <c r="AL49" s="10" t="s">
        <v>176</v>
      </c>
      <c r="AM49" s="10" t="s">
        <v>176</v>
      </c>
      <c r="AN49" s="10" t="s">
        <v>176</v>
      </c>
      <c r="AO49" s="10" t="s">
        <v>176</v>
      </c>
      <c r="AP49" s="10" t="s">
        <v>176</v>
      </c>
      <c r="AQ49" s="10" t="s">
        <v>176</v>
      </c>
      <c r="AR49" s="10" t="s">
        <v>176</v>
      </c>
      <c r="AS49" s="10" t="s">
        <v>176</v>
      </c>
      <c r="AT49" s="10" t="s">
        <v>176</v>
      </c>
      <c r="AU49" s="10">
        <v>3100</v>
      </c>
      <c r="AV49" s="10"/>
      <c r="AW49" s="10"/>
      <c r="AX49" s="10"/>
      <c r="AY49" s="10"/>
      <c r="AZ49" s="10"/>
      <c r="BA49" s="10"/>
      <c r="BB49" s="10"/>
      <c r="BC49" s="10">
        <v>0</v>
      </c>
      <c r="BD49" s="13">
        <v>0</v>
      </c>
      <c r="BE49" s="13">
        <v>-7711</v>
      </c>
      <c r="BF49" s="13">
        <v>-7832</v>
      </c>
      <c r="BG49" s="13">
        <v>-100000</v>
      </c>
    </row>
    <row r="50" spans="1:63" x14ac:dyDescent="0.2">
      <c r="A50" s="1" t="s">
        <v>170</v>
      </c>
      <c r="B50" s="1" t="s">
        <v>172</v>
      </c>
      <c r="C50" s="1" t="s">
        <v>62</v>
      </c>
      <c r="D50" s="1" t="s">
        <v>343</v>
      </c>
      <c r="E50" s="13" t="s">
        <v>176</v>
      </c>
      <c r="F50" s="13" t="s">
        <v>176</v>
      </c>
      <c r="G50" s="13" t="s">
        <v>176</v>
      </c>
      <c r="H50" s="13" t="s">
        <v>176</v>
      </c>
      <c r="I50" s="13" t="s">
        <v>176</v>
      </c>
      <c r="J50" s="13">
        <v>31020</v>
      </c>
      <c r="K50" s="13">
        <v>47642</v>
      </c>
      <c r="L50" s="13">
        <v>47643</v>
      </c>
      <c r="M50" s="13">
        <v>0</v>
      </c>
      <c r="N50" s="13">
        <v>123985</v>
      </c>
      <c r="O50" s="13">
        <v>0</v>
      </c>
      <c r="P50" s="13">
        <v>317712</v>
      </c>
      <c r="Q50" s="13">
        <v>0</v>
      </c>
      <c r="R50" s="13">
        <v>192791</v>
      </c>
      <c r="S50" s="13">
        <v>34073</v>
      </c>
      <c r="T50" s="13">
        <v>904744</v>
      </c>
      <c r="U50" s="13">
        <v>28000</v>
      </c>
      <c r="V50" s="13">
        <v>732854</v>
      </c>
      <c r="W50" s="13">
        <v>28000</v>
      </c>
      <c r="X50" s="13">
        <v>0</v>
      </c>
      <c r="Y50" s="13">
        <v>0</v>
      </c>
      <c r="AA50" s="13">
        <v>0</v>
      </c>
      <c r="AB50" s="13">
        <v>0</v>
      </c>
      <c r="AC50" s="13">
        <v>0</v>
      </c>
      <c r="AD50" s="13">
        <v>508722</v>
      </c>
      <c r="AE50" s="13">
        <v>190303</v>
      </c>
      <c r="AF50" s="10">
        <v>736</v>
      </c>
      <c r="AG50" s="13">
        <v>29141</v>
      </c>
      <c r="AH50" s="13">
        <v>0</v>
      </c>
      <c r="AI50" s="13">
        <v>0</v>
      </c>
      <c r="AJ50" s="13">
        <v>0</v>
      </c>
      <c r="AK50" s="10" t="s">
        <v>176</v>
      </c>
      <c r="AL50" s="10" t="s">
        <v>176</v>
      </c>
      <c r="AM50" s="10" t="s">
        <v>176</v>
      </c>
      <c r="AN50" s="10" t="s">
        <v>176</v>
      </c>
      <c r="AO50" s="10" t="s">
        <v>176</v>
      </c>
      <c r="AP50" s="10">
        <v>0</v>
      </c>
      <c r="AQ50" s="10">
        <v>34601</v>
      </c>
      <c r="AR50" s="10">
        <v>44022</v>
      </c>
      <c r="AS50" s="10">
        <v>0</v>
      </c>
      <c r="AT50" s="10">
        <v>0</v>
      </c>
      <c r="AU50" s="10">
        <v>9093</v>
      </c>
      <c r="AV50" s="10" t="s">
        <v>176</v>
      </c>
      <c r="AW50" s="10" t="s">
        <v>176</v>
      </c>
      <c r="AX50" s="10" t="s">
        <v>176</v>
      </c>
      <c r="AY50" s="10" t="s">
        <v>176</v>
      </c>
      <c r="AZ50" s="10" t="s">
        <v>176</v>
      </c>
      <c r="BA50" s="10" t="s">
        <v>176</v>
      </c>
      <c r="BB50" s="10" t="s">
        <v>176</v>
      </c>
      <c r="BC50" s="10" t="s">
        <v>176</v>
      </c>
      <c r="BD50" s="10" t="s">
        <v>176</v>
      </c>
      <c r="BE50" s="10" t="s">
        <v>176</v>
      </c>
      <c r="BF50" s="10" t="s">
        <v>176</v>
      </c>
      <c r="BG50" s="10" t="s">
        <v>176</v>
      </c>
    </row>
    <row r="51" spans="1:63" x14ac:dyDescent="0.2">
      <c r="A51" s="1" t="s">
        <v>170</v>
      </c>
      <c r="B51" s="1" t="s">
        <v>172</v>
      </c>
      <c r="C51" s="7" t="s">
        <v>62</v>
      </c>
      <c r="D51" s="7" t="s">
        <v>64</v>
      </c>
      <c r="E51" s="16">
        <f t="shared" ref="E51:I51" si="28">SUM(E37:E50)</f>
        <v>-385236</v>
      </c>
      <c r="F51" s="16">
        <f t="shared" si="28"/>
        <v>-395022</v>
      </c>
      <c r="G51" s="16">
        <f t="shared" si="28"/>
        <v>-397899</v>
      </c>
      <c r="H51" s="16">
        <f t="shared" si="28"/>
        <v>-386799</v>
      </c>
      <c r="I51" s="16">
        <f t="shared" si="28"/>
        <v>-349204</v>
      </c>
      <c r="J51" s="16">
        <f>SUM(J37:J50)</f>
        <v>30576</v>
      </c>
      <c r="K51" s="16">
        <f>SUM(K37:K50)</f>
        <v>76638</v>
      </c>
      <c r="L51" s="16">
        <f>SUM(L37:L50)</f>
        <v>94014</v>
      </c>
      <c r="M51" s="16">
        <f t="shared" ref="M51:BJ51" si="29">SUM(M37:M50)</f>
        <v>3534</v>
      </c>
      <c r="N51" s="16">
        <f t="shared" si="29"/>
        <v>-1266865</v>
      </c>
      <c r="O51" s="16">
        <f t="shared" si="29"/>
        <v>12532</v>
      </c>
      <c r="P51" s="16">
        <f t="shared" si="29"/>
        <v>-1393740</v>
      </c>
      <c r="Q51" s="16">
        <f t="shared" si="29"/>
        <v>-471995</v>
      </c>
      <c r="R51" s="16">
        <f t="shared" si="29"/>
        <v>-1145625</v>
      </c>
      <c r="S51" s="16">
        <f t="shared" si="29"/>
        <v>-561532</v>
      </c>
      <c r="T51" s="16">
        <f t="shared" si="29"/>
        <v>-1108708</v>
      </c>
      <c r="U51" s="16">
        <f t="shared" si="29"/>
        <v>-623441</v>
      </c>
      <c r="V51" s="16">
        <f t="shared" si="29"/>
        <v>-1623626</v>
      </c>
      <c r="W51" s="16">
        <f t="shared" si="29"/>
        <v>-911150</v>
      </c>
      <c r="X51" s="16">
        <f t="shared" si="29"/>
        <v>-699583</v>
      </c>
      <c r="Y51" s="16">
        <f t="shared" si="29"/>
        <v>-704498</v>
      </c>
      <c r="Z51" s="16">
        <f t="shared" si="29"/>
        <v>0</v>
      </c>
      <c r="AA51" s="16">
        <f t="shared" si="29"/>
        <v>-735948</v>
      </c>
      <c r="AB51" s="16">
        <f t="shared" si="29"/>
        <v>-582587</v>
      </c>
      <c r="AC51" s="16">
        <f t="shared" si="29"/>
        <v>-554611</v>
      </c>
      <c r="AD51" s="16">
        <f t="shared" si="29"/>
        <v>-2038053</v>
      </c>
      <c r="AE51" s="16">
        <f t="shared" si="29"/>
        <v>2207029</v>
      </c>
      <c r="AF51" s="16">
        <f t="shared" si="29"/>
        <v>-2523016</v>
      </c>
      <c r="AG51" s="16">
        <f t="shared" si="29"/>
        <v>-589085</v>
      </c>
      <c r="AH51" s="16">
        <f t="shared" si="29"/>
        <v>-2492846</v>
      </c>
      <c r="AI51" s="16">
        <f t="shared" si="29"/>
        <v>-2498923</v>
      </c>
      <c r="AJ51" s="16">
        <f t="shared" si="29"/>
        <v>-2919270</v>
      </c>
      <c r="AK51" s="16">
        <f t="shared" si="29"/>
        <v>-3083381</v>
      </c>
      <c r="AL51" s="16">
        <f t="shared" si="29"/>
        <v>-3002386</v>
      </c>
      <c r="AM51" s="16">
        <f t="shared" si="29"/>
        <v>-2771213</v>
      </c>
      <c r="AN51" s="16">
        <f t="shared" si="29"/>
        <v>-4395654</v>
      </c>
      <c r="AO51" s="16">
        <f t="shared" si="29"/>
        <v>-2879803</v>
      </c>
      <c r="AP51" s="16">
        <f t="shared" si="29"/>
        <v>-2873632</v>
      </c>
      <c r="AQ51" s="16">
        <f t="shared" si="29"/>
        <v>-2731549</v>
      </c>
      <c r="AR51" s="16">
        <f t="shared" si="29"/>
        <v>-3263210</v>
      </c>
      <c r="AS51" s="16">
        <f t="shared" si="29"/>
        <v>-3626043</v>
      </c>
      <c r="AT51" s="16">
        <f t="shared" si="29"/>
        <v>-3679599</v>
      </c>
      <c r="AU51" s="16">
        <f>SUM(AU37:AU50)</f>
        <v>-3596766</v>
      </c>
      <c r="AV51" s="16">
        <f t="shared" si="29"/>
        <v>-332991</v>
      </c>
      <c r="AW51" s="16">
        <f t="shared" si="29"/>
        <v>-382842</v>
      </c>
      <c r="AX51" s="16">
        <f t="shared" si="29"/>
        <v>-304444</v>
      </c>
      <c r="AY51" s="16">
        <f t="shared" si="29"/>
        <v>-253185</v>
      </c>
      <c r="AZ51" s="30">
        <f t="shared" si="29"/>
        <v>-502714</v>
      </c>
      <c r="BA51" s="16">
        <f t="shared" si="29"/>
        <v>-859885</v>
      </c>
      <c r="BB51" s="16">
        <f t="shared" si="29"/>
        <v>-988650</v>
      </c>
      <c r="BC51" s="16">
        <f t="shared" si="29"/>
        <v>-619802</v>
      </c>
      <c r="BD51" s="16">
        <f>SUM(BD37:BD50)</f>
        <v>-572656</v>
      </c>
      <c r="BE51" s="16">
        <f t="shared" si="29"/>
        <v>-516835</v>
      </c>
      <c r="BF51" s="16">
        <f t="shared" si="29"/>
        <v>-506626</v>
      </c>
      <c r="BG51" s="16">
        <f t="shared" si="29"/>
        <v>-733898</v>
      </c>
      <c r="BH51" s="16">
        <f t="shared" si="29"/>
        <v>0</v>
      </c>
      <c r="BI51" s="16">
        <f t="shared" si="29"/>
        <v>0</v>
      </c>
      <c r="BJ51" s="16">
        <f t="shared" si="29"/>
        <v>0</v>
      </c>
      <c r="BK51" s="7"/>
    </row>
    <row r="52" spans="1:63" s="19" customFormat="1" x14ac:dyDescent="0.2">
      <c r="A52" s="19" t="s">
        <v>170</v>
      </c>
      <c r="B52" s="19" t="s">
        <v>172</v>
      </c>
      <c r="C52" s="19" t="s">
        <v>397</v>
      </c>
      <c r="D52" s="19" t="s">
        <v>396</v>
      </c>
      <c r="E52" s="10" t="s">
        <v>176</v>
      </c>
      <c r="F52" s="10" t="s">
        <v>176</v>
      </c>
      <c r="G52" s="10" t="s">
        <v>176</v>
      </c>
      <c r="H52" s="10" t="s">
        <v>176</v>
      </c>
      <c r="I52" s="10" t="s">
        <v>176</v>
      </c>
      <c r="J52" s="10" t="s">
        <v>176</v>
      </c>
      <c r="K52" s="10" t="s">
        <v>176</v>
      </c>
      <c r="L52" s="10" t="s">
        <v>176</v>
      </c>
      <c r="M52" s="33">
        <v>-100000</v>
      </c>
      <c r="N52" s="33">
        <v>0</v>
      </c>
      <c r="O52" s="33">
        <v>0</v>
      </c>
      <c r="P52" s="33">
        <v>0</v>
      </c>
      <c r="Q52" s="33">
        <v>0</v>
      </c>
      <c r="R52" s="33">
        <v>-8070</v>
      </c>
      <c r="S52" s="33">
        <v>-8069</v>
      </c>
      <c r="T52" s="33">
        <v>979931</v>
      </c>
      <c r="U52" s="33">
        <v>0</v>
      </c>
      <c r="V52" s="33">
        <v>0</v>
      </c>
      <c r="W52" s="10" t="s">
        <v>176</v>
      </c>
      <c r="X52" s="10" t="s">
        <v>176</v>
      </c>
      <c r="Y52" s="10" t="s">
        <v>176</v>
      </c>
      <c r="Z52" s="10" t="s">
        <v>176</v>
      </c>
      <c r="AA52" s="10" t="s">
        <v>176</v>
      </c>
      <c r="AB52" s="10" t="s">
        <v>176</v>
      </c>
      <c r="AC52" s="10" t="s">
        <v>176</v>
      </c>
      <c r="AD52" s="10" t="s">
        <v>176</v>
      </c>
      <c r="AE52" s="10" t="s">
        <v>176</v>
      </c>
      <c r="AF52" s="10" t="s">
        <v>176</v>
      </c>
      <c r="AG52" s="10" t="s">
        <v>176</v>
      </c>
      <c r="AH52" s="10" t="s">
        <v>176</v>
      </c>
      <c r="AI52" s="10" t="s">
        <v>176</v>
      </c>
      <c r="AJ52" s="10" t="s">
        <v>176</v>
      </c>
      <c r="AK52" s="10">
        <v>0</v>
      </c>
      <c r="AL52" s="10">
        <v>0</v>
      </c>
      <c r="AM52" s="10">
        <v>-215000</v>
      </c>
      <c r="AN52" s="10" t="s">
        <v>440</v>
      </c>
      <c r="AO52" s="10">
        <v>-411000</v>
      </c>
      <c r="AP52" s="10">
        <v>-466000</v>
      </c>
      <c r="AQ52" s="10">
        <v>-500000</v>
      </c>
      <c r="AR52" s="10">
        <v>-517711</v>
      </c>
      <c r="AS52" s="10">
        <v>-547832</v>
      </c>
      <c r="AT52" s="10">
        <v>-516412</v>
      </c>
      <c r="AU52" s="10">
        <v>-500000</v>
      </c>
      <c r="AV52" s="10" t="s">
        <v>176</v>
      </c>
      <c r="AW52" s="10" t="s">
        <v>176</v>
      </c>
      <c r="AX52" s="10" t="s">
        <v>176</v>
      </c>
      <c r="AY52" s="10" t="s">
        <v>176</v>
      </c>
      <c r="AZ52" s="10" t="s">
        <v>176</v>
      </c>
      <c r="BA52" s="33">
        <v>1463150</v>
      </c>
      <c r="BB52" s="33">
        <v>0</v>
      </c>
      <c r="BC52" s="33">
        <v>0</v>
      </c>
      <c r="BD52" s="33">
        <v>0</v>
      </c>
      <c r="BE52" s="33">
        <v>0</v>
      </c>
      <c r="BF52" s="33">
        <v>0</v>
      </c>
      <c r="BG52" s="33">
        <v>0</v>
      </c>
      <c r="BH52" s="33"/>
      <c r="BI52" s="33"/>
      <c r="BJ52" s="33"/>
    </row>
    <row r="53" spans="1:63" s="19" customFormat="1" x14ac:dyDescent="0.2">
      <c r="A53" s="19" t="s">
        <v>170</v>
      </c>
      <c r="B53" s="19" t="s">
        <v>172</v>
      </c>
      <c r="C53" s="19" t="s">
        <v>280</v>
      </c>
      <c r="D53" s="19" t="s">
        <v>280</v>
      </c>
      <c r="E53" s="13">
        <v>0</v>
      </c>
      <c r="F53" s="13">
        <v>0</v>
      </c>
      <c r="G53" s="13">
        <v>0</v>
      </c>
      <c r="H53" s="24">
        <f>58367-23688</f>
        <v>34679</v>
      </c>
      <c r="I53" s="24">
        <v>0</v>
      </c>
      <c r="J53" s="24">
        <v>0</v>
      </c>
      <c r="K53" s="24">
        <v>0</v>
      </c>
      <c r="L53" s="24">
        <v>0</v>
      </c>
      <c r="M53" s="24">
        <v>0</v>
      </c>
      <c r="N53" s="24">
        <v>0</v>
      </c>
      <c r="O53" s="24">
        <v>0</v>
      </c>
      <c r="P53" s="24">
        <v>175243</v>
      </c>
      <c r="Q53" s="24">
        <v>0</v>
      </c>
      <c r="R53" s="24">
        <v>0</v>
      </c>
      <c r="S53" s="24">
        <v>0</v>
      </c>
      <c r="T53" s="24">
        <v>-1023311</v>
      </c>
      <c r="U53" s="24">
        <v>-202518</v>
      </c>
      <c r="V53" s="24">
        <v>0</v>
      </c>
      <c r="W53" s="10" t="s">
        <v>176</v>
      </c>
      <c r="X53" s="10" t="s">
        <v>176</v>
      </c>
      <c r="Y53" s="10" t="s">
        <v>176</v>
      </c>
      <c r="Z53" s="10" t="s">
        <v>176</v>
      </c>
      <c r="AA53" s="10" t="s">
        <v>176</v>
      </c>
      <c r="AB53" s="10" t="s">
        <v>176</v>
      </c>
      <c r="AC53" s="10" t="s">
        <v>176</v>
      </c>
      <c r="AD53" s="10" t="s">
        <v>176</v>
      </c>
      <c r="AE53" s="10" t="s">
        <v>176</v>
      </c>
      <c r="AF53" s="10" t="s">
        <v>176</v>
      </c>
      <c r="AG53" s="10" t="s">
        <v>176</v>
      </c>
      <c r="AH53" s="10" t="s">
        <v>176</v>
      </c>
      <c r="AI53" s="10" t="s">
        <v>176</v>
      </c>
      <c r="AJ53" s="10" t="s">
        <v>176</v>
      </c>
      <c r="AK53" s="10" t="s">
        <v>176</v>
      </c>
      <c r="AL53" s="10" t="s">
        <v>176</v>
      </c>
      <c r="AM53" s="10" t="s">
        <v>176</v>
      </c>
      <c r="AN53" s="10" t="s">
        <v>176</v>
      </c>
      <c r="AO53" s="10" t="s">
        <v>176</v>
      </c>
      <c r="AP53" s="10" t="s">
        <v>176</v>
      </c>
      <c r="AQ53" s="10" t="s">
        <v>176</v>
      </c>
      <c r="AR53" s="10" t="s">
        <v>176</v>
      </c>
      <c r="AS53" s="10" t="s">
        <v>176</v>
      </c>
      <c r="AT53" s="10" t="s">
        <v>176</v>
      </c>
      <c r="AU53" s="10" t="s">
        <v>176</v>
      </c>
      <c r="AV53" s="10" t="s">
        <v>176</v>
      </c>
      <c r="AW53" s="10" t="s">
        <v>176</v>
      </c>
      <c r="AX53" s="10" t="s">
        <v>176</v>
      </c>
      <c r="AY53" s="10" t="s">
        <v>176</v>
      </c>
      <c r="AZ53" s="10" t="s">
        <v>176</v>
      </c>
      <c r="BA53" s="10" t="s">
        <v>176</v>
      </c>
      <c r="BB53" s="10" t="s">
        <v>176</v>
      </c>
      <c r="BC53" s="10" t="s">
        <v>176</v>
      </c>
      <c r="BD53" s="10" t="s">
        <v>176</v>
      </c>
      <c r="BE53" s="10" t="s">
        <v>176</v>
      </c>
      <c r="BF53" s="10" t="s">
        <v>176</v>
      </c>
      <c r="BG53" s="10" t="s">
        <v>176</v>
      </c>
      <c r="BH53" s="29"/>
      <c r="BI53" s="29"/>
      <c r="BJ53" s="29"/>
    </row>
    <row r="54" spans="1:63" x14ac:dyDescent="0.2">
      <c r="A54" s="1" t="s">
        <v>170</v>
      </c>
      <c r="B54" s="1" t="s">
        <v>172</v>
      </c>
      <c r="C54" s="7" t="s">
        <v>65</v>
      </c>
      <c r="D54" s="7" t="s">
        <v>66</v>
      </c>
      <c r="E54" s="16">
        <f>SUM(E51:E53)</f>
        <v>-385236</v>
      </c>
      <c r="F54" s="16">
        <f t="shared" ref="F54:K54" si="30">SUM(F51:F53)</f>
        <v>-395022</v>
      </c>
      <c r="G54" s="16">
        <f t="shared" si="30"/>
        <v>-397899</v>
      </c>
      <c r="H54" s="16">
        <f>SUM(H51:H53)</f>
        <v>-352120</v>
      </c>
      <c r="I54" s="16">
        <f t="shared" si="30"/>
        <v>-349204</v>
      </c>
      <c r="J54" s="16">
        <f t="shared" si="30"/>
        <v>30576</v>
      </c>
      <c r="K54" s="16">
        <f t="shared" si="30"/>
        <v>76638</v>
      </c>
      <c r="L54" s="16">
        <f t="shared" ref="L54:Y54" si="31">SUM(L51:L53)</f>
        <v>94014</v>
      </c>
      <c r="M54" s="16">
        <f t="shared" si="31"/>
        <v>-96466</v>
      </c>
      <c r="N54" s="16">
        <f t="shared" si="31"/>
        <v>-1266865</v>
      </c>
      <c r="O54" s="16">
        <f t="shared" si="31"/>
        <v>12532</v>
      </c>
      <c r="P54" s="16">
        <f t="shared" si="31"/>
        <v>-1218497</v>
      </c>
      <c r="Q54" s="16">
        <f t="shared" si="31"/>
        <v>-471995</v>
      </c>
      <c r="R54" s="16">
        <f t="shared" si="31"/>
        <v>-1153695</v>
      </c>
      <c r="S54" s="16">
        <f t="shared" si="31"/>
        <v>-569601</v>
      </c>
      <c r="T54" s="16">
        <f t="shared" si="31"/>
        <v>-1152088</v>
      </c>
      <c r="U54" s="16">
        <f t="shared" si="31"/>
        <v>-825959</v>
      </c>
      <c r="V54" s="16">
        <f t="shared" si="31"/>
        <v>-1623626</v>
      </c>
      <c r="W54" s="16">
        <f t="shared" si="31"/>
        <v>-911150</v>
      </c>
      <c r="X54" s="16">
        <f t="shared" si="31"/>
        <v>-699583</v>
      </c>
      <c r="Y54" s="16">
        <f t="shared" si="31"/>
        <v>-704498</v>
      </c>
      <c r="Z54" s="16">
        <f t="shared" ref="Z54" si="32">SUM(Z51:Z53)</f>
        <v>0</v>
      </c>
      <c r="AA54" s="16">
        <f t="shared" ref="AA54" si="33">SUM(AA51:AA53)</f>
        <v>-735948</v>
      </c>
      <c r="AB54" s="16">
        <f t="shared" ref="AB54" si="34">SUM(AB51:AB53)</f>
        <v>-582587</v>
      </c>
      <c r="AC54" s="16">
        <f t="shared" ref="AC54:AD54" si="35">SUM(AC51:AC53)</f>
        <v>-554611</v>
      </c>
      <c r="AD54" s="16">
        <f t="shared" si="35"/>
        <v>-2038053</v>
      </c>
      <c r="AE54" s="16">
        <f t="shared" ref="AE54:AZ54" si="36">SUM(AE51:AE53)</f>
        <v>2207029</v>
      </c>
      <c r="AF54" s="16">
        <f t="shared" si="36"/>
        <v>-2523016</v>
      </c>
      <c r="AG54" s="16">
        <f t="shared" si="36"/>
        <v>-589085</v>
      </c>
      <c r="AH54" s="16">
        <f t="shared" si="36"/>
        <v>-2492846</v>
      </c>
      <c r="AI54" s="16">
        <f t="shared" si="36"/>
        <v>-2498923</v>
      </c>
      <c r="AJ54" s="16">
        <f t="shared" si="36"/>
        <v>-2919270</v>
      </c>
      <c r="AK54" s="16">
        <f t="shared" ref="AK54:AP54" si="37">SUM(AK51:AK53)</f>
        <v>-3083381</v>
      </c>
      <c r="AL54" s="16">
        <f t="shared" si="37"/>
        <v>-3002386</v>
      </c>
      <c r="AM54" s="16">
        <f t="shared" si="37"/>
        <v>-2986213</v>
      </c>
      <c r="AN54" s="16">
        <f t="shared" si="37"/>
        <v>-4395654</v>
      </c>
      <c r="AO54" s="16">
        <f t="shared" si="37"/>
        <v>-3290803</v>
      </c>
      <c r="AP54" s="16">
        <f t="shared" si="37"/>
        <v>-3339632</v>
      </c>
      <c r="AQ54" s="16">
        <f t="shared" ref="AQ54:AT54" si="38">SUM(AQ51:AQ53)</f>
        <v>-3231549</v>
      </c>
      <c r="AR54" s="16">
        <f t="shared" si="38"/>
        <v>-3780921</v>
      </c>
      <c r="AS54" s="16">
        <f t="shared" si="38"/>
        <v>-4173875</v>
      </c>
      <c r="AT54" s="16">
        <f t="shared" si="38"/>
        <v>-4196011</v>
      </c>
      <c r="AU54" s="16">
        <f t="shared" ref="AU54" si="39">SUM(AU51:AU53)</f>
        <v>-4096766</v>
      </c>
      <c r="AV54" s="16">
        <f t="shared" si="36"/>
        <v>-332991</v>
      </c>
      <c r="AW54" s="16">
        <f t="shared" si="36"/>
        <v>-382842</v>
      </c>
      <c r="AX54" s="16">
        <f t="shared" si="36"/>
        <v>-304444</v>
      </c>
      <c r="AY54" s="16">
        <f t="shared" si="36"/>
        <v>-253185</v>
      </c>
      <c r="AZ54" s="16">
        <f t="shared" si="36"/>
        <v>-502714</v>
      </c>
      <c r="BA54" s="16">
        <f>SUM(BA51:BA53)</f>
        <v>603265</v>
      </c>
      <c r="BB54" s="16">
        <f>SUM(BB51:BB53)</f>
        <v>-988650</v>
      </c>
      <c r="BC54" s="16">
        <f>SUM(BC51:BC53)</f>
        <v>-619802</v>
      </c>
      <c r="BD54" s="16">
        <f>SUM(BD51:BD53)</f>
        <v>-572656</v>
      </c>
      <c r="BE54" s="16">
        <f>SUM(BE51:BE53)</f>
        <v>-516835</v>
      </c>
      <c r="BF54" s="16">
        <f t="shared" ref="BF54:BG54" si="40">SUM(BF51:BF53)</f>
        <v>-506626</v>
      </c>
      <c r="BG54" s="16">
        <f t="shared" si="40"/>
        <v>-733898</v>
      </c>
      <c r="BH54" s="27"/>
      <c r="BI54" s="27"/>
      <c r="BJ54" s="27"/>
    </row>
    <row r="55" spans="1:63" x14ac:dyDescent="0.2">
      <c r="A55" s="1" t="s">
        <v>170</v>
      </c>
      <c r="B55" s="1" t="s">
        <v>172</v>
      </c>
      <c r="C55" s="7" t="s">
        <v>67</v>
      </c>
      <c r="D55" s="7" t="s">
        <v>67</v>
      </c>
      <c r="E55" s="16">
        <f>E54+E36</f>
        <v>-107294</v>
      </c>
      <c r="F55" s="16">
        <f t="shared" ref="F55:Y55" si="41">F54+F36</f>
        <v>147795</v>
      </c>
      <c r="G55" s="16">
        <f t="shared" si="41"/>
        <v>131612</v>
      </c>
      <c r="H55" s="30">
        <v>110704</v>
      </c>
      <c r="I55" s="16">
        <f t="shared" si="41"/>
        <v>90963</v>
      </c>
      <c r="J55" s="16">
        <f t="shared" si="41"/>
        <v>134660</v>
      </c>
      <c r="K55" s="16">
        <f t="shared" si="41"/>
        <v>148868</v>
      </c>
      <c r="L55" s="16">
        <f t="shared" si="41"/>
        <v>99020</v>
      </c>
      <c r="M55" s="16">
        <f t="shared" si="41"/>
        <v>49414</v>
      </c>
      <c r="N55" s="16">
        <f t="shared" si="41"/>
        <v>-785804</v>
      </c>
      <c r="O55" s="16">
        <f t="shared" si="41"/>
        <v>-189590</v>
      </c>
      <c r="P55" s="16">
        <f t="shared" si="41"/>
        <v>-500876</v>
      </c>
      <c r="Q55" s="16">
        <f t="shared" si="41"/>
        <v>-70090</v>
      </c>
      <c r="R55" s="16">
        <f t="shared" si="41"/>
        <v>-534231</v>
      </c>
      <c r="S55" s="16">
        <f t="shared" si="41"/>
        <v>122938</v>
      </c>
      <c r="T55" s="16">
        <f t="shared" si="41"/>
        <v>117229</v>
      </c>
      <c r="U55" s="30">
        <v>-36274</v>
      </c>
      <c r="V55" s="16">
        <f t="shared" si="41"/>
        <v>745275</v>
      </c>
      <c r="W55" s="16">
        <f t="shared" si="41"/>
        <v>-48428</v>
      </c>
      <c r="X55" s="16">
        <f t="shared" si="41"/>
        <v>-69708</v>
      </c>
      <c r="Y55" s="16">
        <f t="shared" si="41"/>
        <v>482146</v>
      </c>
      <c r="Z55" s="16">
        <f t="shared" ref="Z55:AE55" si="42">Z54+Z36</f>
        <v>0</v>
      </c>
      <c r="AA55" s="16">
        <f t="shared" si="42"/>
        <v>908526</v>
      </c>
      <c r="AB55" s="16">
        <f t="shared" si="42"/>
        <v>1254044</v>
      </c>
      <c r="AC55" s="16">
        <f t="shared" si="42"/>
        <v>1033283</v>
      </c>
      <c r="AD55" s="16">
        <f t="shared" si="42"/>
        <v>456034</v>
      </c>
      <c r="AE55" s="16">
        <f t="shared" si="42"/>
        <v>3220818</v>
      </c>
      <c r="AF55" s="16">
        <f t="shared" ref="AF55:AI55" si="43">AF54+AF36</f>
        <v>-92186</v>
      </c>
      <c r="AG55" s="16">
        <f t="shared" si="43"/>
        <v>839065</v>
      </c>
      <c r="AH55" s="16">
        <f t="shared" si="43"/>
        <v>831099</v>
      </c>
      <c r="AI55" s="16">
        <f t="shared" si="43"/>
        <v>662884</v>
      </c>
      <c r="AJ55" s="16">
        <f t="shared" ref="AJ55:AW55" si="44">AJ54+AJ36</f>
        <v>628486</v>
      </c>
      <c r="AK55" s="16">
        <f t="shared" si="44"/>
        <v>1654216</v>
      </c>
      <c r="AL55" s="16">
        <f t="shared" si="44"/>
        <v>497884</v>
      </c>
      <c r="AM55" s="16">
        <f t="shared" si="44"/>
        <v>980590</v>
      </c>
      <c r="AN55" s="16">
        <f t="shared" si="44"/>
        <v>-450131</v>
      </c>
      <c r="AO55" s="16">
        <f t="shared" si="44"/>
        <v>987143</v>
      </c>
      <c r="AP55" s="16">
        <v>-788716</v>
      </c>
      <c r="AQ55" s="16">
        <f t="shared" ref="AQ55:AT55" si="45">AQ54+AQ36</f>
        <v>331573</v>
      </c>
      <c r="AR55" s="16">
        <f t="shared" si="45"/>
        <v>746433</v>
      </c>
      <c r="AS55" s="16">
        <f t="shared" si="45"/>
        <v>324196</v>
      </c>
      <c r="AT55" s="16">
        <f t="shared" si="45"/>
        <v>343943</v>
      </c>
      <c r="AU55" s="16">
        <f t="shared" ref="AU55" si="46">AU54+AU36</f>
        <v>348354</v>
      </c>
      <c r="AV55" s="16">
        <f t="shared" ref="AV55" si="47">AV54+AV36</f>
        <v>579829</v>
      </c>
      <c r="AW55" s="16">
        <f t="shared" si="44"/>
        <v>1240949</v>
      </c>
      <c r="AX55" s="16">
        <f t="shared" ref="AX55:BC55" si="48">AX54+AX36</f>
        <v>1338517</v>
      </c>
      <c r="AY55" s="16">
        <f t="shared" si="48"/>
        <v>771258</v>
      </c>
      <c r="AZ55" s="16">
        <f t="shared" si="48"/>
        <v>733062</v>
      </c>
      <c r="BA55" s="16">
        <f t="shared" si="48"/>
        <v>1516729</v>
      </c>
      <c r="BB55" s="16">
        <f t="shared" si="48"/>
        <v>909889</v>
      </c>
      <c r="BC55" s="16">
        <f t="shared" si="48"/>
        <v>1599954</v>
      </c>
      <c r="BD55" s="30">
        <f t="shared" ref="BD55:BG55" si="49">BD54+BD36</f>
        <v>1715696</v>
      </c>
      <c r="BE55" s="16">
        <f>BE54+BE36</f>
        <v>1737949</v>
      </c>
      <c r="BF55" s="16">
        <f t="shared" si="49"/>
        <v>1433390</v>
      </c>
      <c r="BG55" s="16">
        <f t="shared" si="49"/>
        <v>976509</v>
      </c>
      <c r="BH55" s="27"/>
      <c r="BI55" s="27"/>
      <c r="BJ55" s="27"/>
    </row>
    <row r="56" spans="1:63" x14ac:dyDescent="0.2">
      <c r="A56" s="1" t="s">
        <v>170</v>
      </c>
      <c r="B56" s="1" t="s">
        <v>172</v>
      </c>
      <c r="C56" s="7" t="s">
        <v>68</v>
      </c>
      <c r="D56" s="7" t="s">
        <v>69</v>
      </c>
      <c r="E56" s="16">
        <v>-238927</v>
      </c>
      <c r="F56" s="16">
        <f>E57</f>
        <v>-346221</v>
      </c>
      <c r="G56" s="16">
        <f t="shared" ref="G56:I56" si="50">F57</f>
        <v>-198426</v>
      </c>
      <c r="H56" s="16">
        <f t="shared" si="50"/>
        <v>-66814</v>
      </c>
      <c r="I56" s="16">
        <f t="shared" si="50"/>
        <v>43890</v>
      </c>
      <c r="J56" s="16">
        <v>199567</v>
      </c>
      <c r="K56" s="16">
        <f>J57</f>
        <v>334227</v>
      </c>
      <c r="L56" s="16">
        <f>K57</f>
        <v>478892</v>
      </c>
      <c r="M56" s="16">
        <v>168656</v>
      </c>
      <c r="N56" s="16">
        <v>461257</v>
      </c>
      <c r="O56" s="15">
        <f>M57</f>
        <v>218070</v>
      </c>
      <c r="P56" s="16">
        <v>-324547</v>
      </c>
      <c r="Q56" s="15">
        <f>O57</f>
        <v>28480</v>
      </c>
      <c r="R56" s="16">
        <v>-825423</v>
      </c>
      <c r="S56" s="15">
        <f>Q57</f>
        <v>-41610</v>
      </c>
      <c r="T56" s="16">
        <v>-1359654</v>
      </c>
      <c r="U56" s="15">
        <f>S57</f>
        <v>81328</v>
      </c>
      <c r="V56" s="16">
        <v>-1242425</v>
      </c>
      <c r="W56" s="16"/>
      <c r="X56" s="15"/>
      <c r="Y56" s="15"/>
      <c r="Z56" s="15"/>
      <c r="AA56" s="15">
        <v>2220974</v>
      </c>
      <c r="AB56" s="15">
        <f>AA57</f>
        <v>3129500</v>
      </c>
      <c r="AC56" s="15">
        <f>AB57</f>
        <v>4383544</v>
      </c>
      <c r="AD56" s="15">
        <v>1801147</v>
      </c>
      <c r="AE56" s="15">
        <f>AC57</f>
        <v>5446827</v>
      </c>
      <c r="AF56" s="15">
        <v>2257181</v>
      </c>
      <c r="AG56" s="15">
        <v>8667645</v>
      </c>
      <c r="AH56" s="15">
        <v>2164995</v>
      </c>
      <c r="AI56" s="15">
        <f>2996094</f>
        <v>2996094</v>
      </c>
      <c r="AJ56" s="15">
        <v>3658978</v>
      </c>
      <c r="AK56" s="15">
        <v>4408004</v>
      </c>
      <c r="AL56" s="15">
        <f t="shared" ref="AL56:AT56" si="51">AK57</f>
        <v>5582220</v>
      </c>
      <c r="AM56" s="15">
        <f t="shared" si="51"/>
        <v>5600104</v>
      </c>
      <c r="AN56" s="15">
        <f t="shared" si="51"/>
        <v>6580694</v>
      </c>
      <c r="AO56" s="15">
        <f t="shared" si="51"/>
        <v>6130563</v>
      </c>
      <c r="AP56" s="15">
        <f t="shared" si="51"/>
        <v>7117706</v>
      </c>
      <c r="AQ56" s="15">
        <f t="shared" si="51"/>
        <v>6328990</v>
      </c>
      <c r="AR56" s="15">
        <f t="shared" si="51"/>
        <v>6660563</v>
      </c>
      <c r="AS56" s="15">
        <f t="shared" si="51"/>
        <v>7406996</v>
      </c>
      <c r="AT56" s="15">
        <f t="shared" si="51"/>
        <v>7731192</v>
      </c>
      <c r="AU56" s="15">
        <v>7478498</v>
      </c>
      <c r="AV56" s="15">
        <v>9129920</v>
      </c>
      <c r="AW56" s="15">
        <v>9709749</v>
      </c>
      <c r="AX56" s="15">
        <v>10950698</v>
      </c>
      <c r="AY56" s="15">
        <v>12289367</v>
      </c>
      <c r="AZ56" s="15">
        <v>13061105</v>
      </c>
      <c r="BA56" s="15">
        <f>AZ57</f>
        <v>13794167</v>
      </c>
      <c r="BB56" s="15">
        <f>BA57</f>
        <v>15310896</v>
      </c>
      <c r="BC56" s="15">
        <f>BB57-2</f>
        <v>16220783</v>
      </c>
      <c r="BD56" s="12">
        <v>17331942</v>
      </c>
      <c r="BE56" s="15">
        <f t="shared" ref="BE56:BG56" si="52">BD57</f>
        <v>19047638</v>
      </c>
      <c r="BF56" s="15">
        <f t="shared" si="52"/>
        <v>20785587</v>
      </c>
      <c r="BG56" s="15">
        <f t="shared" si="52"/>
        <v>22218977</v>
      </c>
      <c r="BH56" s="27"/>
      <c r="BI56" s="27"/>
      <c r="BJ56" s="27"/>
    </row>
    <row r="57" spans="1:63" x14ac:dyDescent="0.2">
      <c r="A57" s="1" t="s">
        <v>170</v>
      </c>
      <c r="B57" s="1" t="s">
        <v>172</v>
      </c>
      <c r="C57" s="7" t="s">
        <v>68</v>
      </c>
      <c r="D57" s="7" t="s">
        <v>70</v>
      </c>
      <c r="E57" s="16">
        <f>SUM(E55:E56)</f>
        <v>-346221</v>
      </c>
      <c r="F57" s="16">
        <f>SUM(F55:F56)</f>
        <v>-198426</v>
      </c>
      <c r="G57" s="16">
        <f t="shared" ref="G57:I57" si="53">SUM(G55:G56)</f>
        <v>-66814</v>
      </c>
      <c r="H57" s="16">
        <f t="shared" si="53"/>
        <v>43890</v>
      </c>
      <c r="I57" s="16">
        <f t="shared" si="53"/>
        <v>134853</v>
      </c>
      <c r="J57" s="16">
        <f>SUM(J55:J56)</f>
        <v>334227</v>
      </c>
      <c r="K57" s="30">
        <v>478892</v>
      </c>
      <c r="L57" s="16">
        <f t="shared" ref="L57:V57" si="54">SUM(L55:L56)</f>
        <v>577912</v>
      </c>
      <c r="M57" s="16">
        <f t="shared" si="54"/>
        <v>218070</v>
      </c>
      <c r="N57" s="16">
        <f t="shared" si="54"/>
        <v>-324547</v>
      </c>
      <c r="O57" s="16">
        <f t="shared" si="54"/>
        <v>28480</v>
      </c>
      <c r="P57" s="16">
        <f t="shared" si="54"/>
        <v>-825423</v>
      </c>
      <c r="Q57" s="16">
        <f t="shared" si="54"/>
        <v>-41610</v>
      </c>
      <c r="R57" s="16">
        <f t="shared" si="54"/>
        <v>-1359654</v>
      </c>
      <c r="S57" s="16">
        <f t="shared" si="54"/>
        <v>81328</v>
      </c>
      <c r="T57" s="16">
        <f t="shared" si="54"/>
        <v>-1242425</v>
      </c>
      <c r="U57" s="16">
        <f t="shared" si="54"/>
        <v>45054</v>
      </c>
      <c r="V57" s="16">
        <f t="shared" si="54"/>
        <v>-497150</v>
      </c>
      <c r="W57" s="16"/>
      <c r="X57" s="16"/>
      <c r="Y57" s="16"/>
      <c r="Z57" s="15"/>
      <c r="AA57" s="15">
        <f>SUM(AA55:AA56)</f>
        <v>3129500</v>
      </c>
      <c r="AB57" s="15">
        <f>SUM(AB55:AB56)</f>
        <v>4383544</v>
      </c>
      <c r="AC57" s="12">
        <v>5446827</v>
      </c>
      <c r="AD57" s="15">
        <f t="shared" ref="AD57:AU57" si="55">SUM(AD55:AD56)</f>
        <v>2257181</v>
      </c>
      <c r="AE57" s="15">
        <f t="shared" si="55"/>
        <v>8667645</v>
      </c>
      <c r="AF57" s="15">
        <f t="shared" si="55"/>
        <v>2164995</v>
      </c>
      <c r="AG57" s="15">
        <f t="shared" si="55"/>
        <v>9506710</v>
      </c>
      <c r="AH57" s="15">
        <f t="shared" si="55"/>
        <v>2996094</v>
      </c>
      <c r="AI57" s="15">
        <f t="shared" si="55"/>
        <v>3658978</v>
      </c>
      <c r="AJ57" s="15">
        <f t="shared" si="55"/>
        <v>4287464</v>
      </c>
      <c r="AK57" s="12">
        <v>5582220</v>
      </c>
      <c r="AL57" s="12">
        <v>5600104</v>
      </c>
      <c r="AM57" s="15">
        <f t="shared" si="55"/>
        <v>6580694</v>
      </c>
      <c r="AN57" s="15">
        <f t="shared" si="55"/>
        <v>6130563</v>
      </c>
      <c r="AO57" s="15">
        <f t="shared" si="55"/>
        <v>7117706</v>
      </c>
      <c r="AP57" s="15">
        <f t="shared" si="55"/>
        <v>6328990</v>
      </c>
      <c r="AQ57" s="15">
        <f t="shared" si="55"/>
        <v>6660563</v>
      </c>
      <c r="AR57" s="15">
        <f t="shared" si="55"/>
        <v>7406996</v>
      </c>
      <c r="AS57" s="15">
        <f t="shared" si="55"/>
        <v>7731192</v>
      </c>
      <c r="AT57" s="15">
        <f t="shared" si="55"/>
        <v>8075135</v>
      </c>
      <c r="AU57" s="15">
        <f t="shared" si="55"/>
        <v>7826852</v>
      </c>
      <c r="AV57" s="15">
        <f t="shared" ref="AV57:BC57" si="56">SUM(AV55:AV56)</f>
        <v>9709749</v>
      </c>
      <c r="AW57" s="15">
        <f t="shared" si="56"/>
        <v>10950698</v>
      </c>
      <c r="AX57" s="15">
        <f t="shared" si="56"/>
        <v>12289215</v>
      </c>
      <c r="AY57" s="15">
        <f t="shared" si="56"/>
        <v>13060625</v>
      </c>
      <c r="AZ57" s="15">
        <f t="shared" si="56"/>
        <v>13794167</v>
      </c>
      <c r="BA57" s="15">
        <f t="shared" si="56"/>
        <v>15310896</v>
      </c>
      <c r="BB57" s="15">
        <f t="shared" si="56"/>
        <v>16220785</v>
      </c>
      <c r="BC57" s="15">
        <f t="shared" si="56"/>
        <v>17820737</v>
      </c>
      <c r="BD57" s="15">
        <f t="shared" ref="BD57:BG57" si="57">SUM(BD55:BD56)</f>
        <v>19047638</v>
      </c>
      <c r="BE57" s="15">
        <f t="shared" si="57"/>
        <v>20785587</v>
      </c>
      <c r="BF57" s="15">
        <f t="shared" si="57"/>
        <v>22218977</v>
      </c>
      <c r="BG57" s="15">
        <f t="shared" si="57"/>
        <v>23195486</v>
      </c>
      <c r="BH57" s="27"/>
      <c r="BI57" s="27"/>
      <c r="BJ57" s="27"/>
    </row>
    <row r="58" spans="1:63" x14ac:dyDescent="0.2">
      <c r="G58" s="13" t="s">
        <v>342</v>
      </c>
      <c r="AF58" s="10"/>
      <c r="AT58" s="13" t="s">
        <v>702</v>
      </c>
    </row>
    <row r="59" spans="1:63" x14ac:dyDescent="0.2">
      <c r="AD59" s="13" t="s">
        <v>568</v>
      </c>
      <c r="AF59" s="13" t="s">
        <v>568</v>
      </c>
      <c r="AH59" s="13" t="s">
        <v>568</v>
      </c>
      <c r="AI59" s="13" t="s">
        <v>568</v>
      </c>
      <c r="AJ59" s="13" t="s">
        <v>568</v>
      </c>
      <c r="AP59" s="13" t="s">
        <v>642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Q63"/>
  <sheetViews>
    <sheetView workbookViewId="0">
      <pane xSplit="4" ySplit="2" topLeftCell="E3" activePane="bottomRight" state="frozen"/>
      <selection pane="topRight" activeCell="E1" sqref="E1"/>
      <selection pane="bottomLeft" activeCell="A3" sqref="A3"/>
      <selection pane="bottomRight" activeCell="A41" sqref="A41:XFD42"/>
    </sheetView>
  </sheetViews>
  <sheetFormatPr baseColWidth="10" defaultColWidth="8.83203125" defaultRowHeight="15" x14ac:dyDescent="0.2"/>
  <cols>
    <col min="1" max="2" width="8.83203125" style="1"/>
    <col min="3" max="3" width="15.1640625" style="1" customWidth="1"/>
    <col min="4" max="4" width="26.5" style="1" customWidth="1"/>
    <col min="5" max="6" width="8.83203125" style="1"/>
    <col min="7" max="7" width="10.5" style="1" bestFit="1" customWidth="1"/>
    <col min="8" max="14" width="8.83203125" style="1"/>
    <col min="15" max="16" width="11.5" style="1" bestFit="1" customWidth="1"/>
    <col min="17" max="20" width="8.83203125" style="1"/>
    <col min="21" max="24" width="11.5" style="1" bestFit="1" customWidth="1"/>
    <col min="25" max="25" width="8.83203125" style="1"/>
    <col min="26" max="27" width="11.5" style="1" bestFit="1" customWidth="1"/>
    <col min="28" max="29" width="8.83203125" style="1"/>
    <col min="30" max="30" width="11.5" style="1" bestFit="1" customWidth="1"/>
    <col min="31" max="31" width="11.1640625" style="1" customWidth="1"/>
    <col min="32" max="32" width="8.83203125" style="1"/>
    <col min="33" max="34" width="11.5" style="1" bestFit="1" customWidth="1"/>
    <col min="35" max="38" width="8.83203125" style="1"/>
    <col min="39" max="40" width="11.5" style="1" bestFit="1" customWidth="1"/>
    <col min="41" max="16384" width="8.83203125" style="1"/>
  </cols>
  <sheetData>
    <row r="1" spans="1:43" x14ac:dyDescent="0.2">
      <c r="E1" s="10"/>
      <c r="F1" s="11" t="s">
        <v>33</v>
      </c>
      <c r="G1" s="11"/>
      <c r="H1" s="12"/>
      <c r="I1" s="12"/>
      <c r="J1" s="12"/>
      <c r="K1" s="12"/>
      <c r="L1" s="12"/>
      <c r="M1" s="10"/>
      <c r="N1" s="10"/>
      <c r="O1" s="10"/>
      <c r="P1" s="10"/>
      <c r="Q1" s="10"/>
      <c r="R1" s="13"/>
      <c r="S1" s="13"/>
      <c r="T1" s="13"/>
      <c r="U1" s="13"/>
      <c r="V1" s="13"/>
      <c r="W1" s="13"/>
      <c r="X1" s="13"/>
      <c r="Y1" s="13"/>
      <c r="Z1" s="13"/>
      <c r="AA1" s="13"/>
      <c r="AB1" s="13"/>
      <c r="AC1" s="13"/>
      <c r="AD1" s="13"/>
      <c r="AE1" s="14" t="s">
        <v>34</v>
      </c>
      <c r="AF1" s="13"/>
      <c r="AG1" s="13"/>
      <c r="AH1" s="13"/>
      <c r="AI1" s="13"/>
      <c r="AJ1" s="14" t="s">
        <v>35</v>
      </c>
      <c r="AK1" s="13"/>
      <c r="AL1" s="13"/>
      <c r="AM1" s="13"/>
      <c r="AN1" s="13"/>
      <c r="AO1" s="13"/>
      <c r="AP1" s="13"/>
    </row>
    <row r="2" spans="1:43" x14ac:dyDescent="0.2">
      <c r="A2" s="2" t="s">
        <v>0</v>
      </c>
      <c r="B2" s="2" t="s">
        <v>1</v>
      </c>
      <c r="C2" s="2" t="s">
        <v>36</v>
      </c>
      <c r="D2" s="2" t="s">
        <v>37</v>
      </c>
      <c r="E2" s="5" t="s">
        <v>358</v>
      </c>
      <c r="F2" s="5" t="s">
        <v>357</v>
      </c>
      <c r="G2" s="5" t="s">
        <v>359</v>
      </c>
      <c r="H2" s="5" t="s">
        <v>360</v>
      </c>
      <c r="I2" s="5" t="s">
        <v>38</v>
      </c>
      <c r="J2" s="5" t="s">
        <v>39</v>
      </c>
      <c r="K2" s="5" t="s">
        <v>40</v>
      </c>
      <c r="L2" s="5" t="s">
        <v>41</v>
      </c>
      <c r="M2" s="5" t="s">
        <v>42</v>
      </c>
      <c r="N2" s="5" t="s">
        <v>43</v>
      </c>
      <c r="O2" s="5" t="s">
        <v>438</v>
      </c>
      <c r="P2" s="5" t="s">
        <v>442</v>
      </c>
      <c r="Q2" s="5" t="s">
        <v>44</v>
      </c>
      <c r="R2" s="5" t="s">
        <v>45</v>
      </c>
      <c r="S2" s="5" t="s">
        <v>46</v>
      </c>
      <c r="T2" s="5" t="s">
        <v>47</v>
      </c>
      <c r="U2" s="5" t="s">
        <v>475</v>
      </c>
      <c r="V2" s="5" t="s">
        <v>470</v>
      </c>
      <c r="W2" s="5" t="s">
        <v>527</v>
      </c>
      <c r="X2" s="5" t="s">
        <v>508</v>
      </c>
      <c r="Y2" s="5" t="s">
        <v>48</v>
      </c>
      <c r="Z2" s="5" t="s">
        <v>561</v>
      </c>
      <c r="AA2" s="5" t="s">
        <v>562</v>
      </c>
      <c r="AB2" s="5" t="s">
        <v>49</v>
      </c>
      <c r="AC2" s="5" t="s">
        <v>50</v>
      </c>
      <c r="AD2" s="5" t="s">
        <v>595</v>
      </c>
      <c r="AE2" s="5" t="s">
        <v>592</v>
      </c>
      <c r="AF2" s="5" t="s">
        <v>51</v>
      </c>
      <c r="AG2" s="5" t="s">
        <v>639</v>
      </c>
      <c r="AH2" s="5" t="s">
        <v>656</v>
      </c>
      <c r="AI2" s="5" t="s">
        <v>52</v>
      </c>
      <c r="AJ2" s="5" t="s">
        <v>53</v>
      </c>
      <c r="AK2" s="5" t="s">
        <v>54</v>
      </c>
      <c r="AL2" s="5" t="s">
        <v>55</v>
      </c>
      <c r="AM2" s="5" t="s">
        <v>694</v>
      </c>
      <c r="AN2" s="5" t="s">
        <v>707</v>
      </c>
      <c r="AO2" s="5" t="s">
        <v>56</v>
      </c>
      <c r="AP2" s="5" t="s">
        <v>57</v>
      </c>
      <c r="AQ2" s="5" t="s">
        <v>71</v>
      </c>
    </row>
    <row r="3" spans="1:43" x14ac:dyDescent="0.2">
      <c r="A3" s="1" t="s">
        <v>170</v>
      </c>
      <c r="B3" s="1" t="s">
        <v>172</v>
      </c>
      <c r="C3" s="1" t="s">
        <v>148</v>
      </c>
      <c r="D3" s="1" t="s">
        <v>316</v>
      </c>
      <c r="E3" s="10">
        <v>111335</v>
      </c>
      <c r="F3" s="10">
        <v>30635</v>
      </c>
      <c r="G3" s="10">
        <v>209232</v>
      </c>
      <c r="H3" s="10">
        <v>73126</v>
      </c>
      <c r="I3" s="10"/>
      <c r="J3" s="10"/>
      <c r="K3" s="10"/>
      <c r="L3" s="10"/>
      <c r="M3" s="10"/>
      <c r="N3" s="10"/>
      <c r="O3" s="10">
        <v>472737</v>
      </c>
      <c r="P3" s="10">
        <v>421</v>
      </c>
      <c r="Q3" s="10"/>
      <c r="R3" s="13"/>
      <c r="S3" s="13"/>
      <c r="T3" s="13"/>
      <c r="U3" s="13">
        <v>522</v>
      </c>
      <c r="V3" s="13">
        <v>746539</v>
      </c>
      <c r="W3" s="13">
        <v>0</v>
      </c>
      <c r="X3" s="13">
        <v>1469003</v>
      </c>
      <c r="Y3" s="13"/>
      <c r="Z3" s="13">
        <v>0</v>
      </c>
      <c r="AA3" s="13">
        <v>1612150</v>
      </c>
      <c r="AB3" s="13"/>
      <c r="AC3" s="13"/>
      <c r="AD3" s="13">
        <v>1453038</v>
      </c>
      <c r="AE3" s="13">
        <v>2685546</v>
      </c>
      <c r="AF3" s="13"/>
      <c r="AG3" s="13">
        <v>1398504</v>
      </c>
      <c r="AH3" s="13">
        <v>4828006</v>
      </c>
      <c r="AI3" s="13"/>
      <c r="AJ3" s="13"/>
      <c r="AK3" s="13"/>
      <c r="AL3" s="13"/>
      <c r="AM3" s="13">
        <v>670735</v>
      </c>
      <c r="AN3" s="13">
        <v>3338003</v>
      </c>
      <c r="AO3" s="13"/>
      <c r="AP3" s="13"/>
      <c r="AQ3" s="13"/>
    </row>
    <row r="4" spans="1:43" x14ac:dyDescent="0.2">
      <c r="A4" s="1" t="s">
        <v>170</v>
      </c>
      <c r="B4" s="1" t="s">
        <v>172</v>
      </c>
      <c r="C4" s="1" t="s">
        <v>148</v>
      </c>
      <c r="D4" s="1" t="s">
        <v>317</v>
      </c>
      <c r="E4" s="10" t="s">
        <v>176</v>
      </c>
      <c r="F4" s="10">
        <v>420773</v>
      </c>
      <c r="G4" s="10" t="s">
        <v>176</v>
      </c>
      <c r="H4" s="10" t="s">
        <v>176</v>
      </c>
      <c r="I4" s="10"/>
      <c r="J4" s="10"/>
      <c r="K4" s="10"/>
      <c r="L4" s="10"/>
      <c r="M4" s="10"/>
      <c r="N4" s="10"/>
      <c r="O4" s="10">
        <v>760566</v>
      </c>
      <c r="P4" s="10">
        <v>0</v>
      </c>
      <c r="Q4" s="10"/>
      <c r="R4" s="13"/>
      <c r="S4" s="13"/>
      <c r="T4" s="13"/>
      <c r="U4" s="13">
        <v>0</v>
      </c>
      <c r="V4" s="13">
        <v>1347956</v>
      </c>
      <c r="W4" s="13">
        <v>0</v>
      </c>
      <c r="X4" s="13">
        <v>867573</v>
      </c>
      <c r="Y4" s="13"/>
      <c r="Z4" s="13">
        <v>0</v>
      </c>
      <c r="AA4" s="13">
        <v>1073848</v>
      </c>
      <c r="AB4" s="13"/>
      <c r="AC4" s="13"/>
      <c r="AD4" s="13">
        <v>0</v>
      </c>
      <c r="AE4" s="13">
        <v>910987</v>
      </c>
      <c r="AF4" s="13"/>
      <c r="AG4" s="13">
        <v>0</v>
      </c>
      <c r="AH4" s="13">
        <v>1150028</v>
      </c>
      <c r="AI4" s="13"/>
      <c r="AJ4" s="13"/>
      <c r="AK4" s="13"/>
      <c r="AL4" s="13"/>
      <c r="AM4" s="13">
        <v>0</v>
      </c>
      <c r="AN4" s="13">
        <v>917131</v>
      </c>
      <c r="AO4" s="13"/>
      <c r="AP4" s="13"/>
      <c r="AQ4" s="13"/>
    </row>
    <row r="5" spans="1:43" x14ac:dyDescent="0.2">
      <c r="A5" s="1" t="s">
        <v>170</v>
      </c>
      <c r="B5" s="1" t="s">
        <v>172</v>
      </c>
      <c r="C5" s="1" t="s">
        <v>148</v>
      </c>
      <c r="D5" s="1" t="s">
        <v>318</v>
      </c>
      <c r="E5" s="10">
        <v>25848</v>
      </c>
      <c r="F5" s="10">
        <v>14587</v>
      </c>
      <c r="G5" s="10">
        <v>8394</v>
      </c>
      <c r="H5" s="10">
        <v>13812</v>
      </c>
      <c r="I5" s="10"/>
      <c r="J5" s="10"/>
      <c r="K5" s="10"/>
      <c r="L5" s="10"/>
      <c r="M5" s="10"/>
      <c r="N5" s="10"/>
      <c r="O5" s="10"/>
      <c r="P5" s="10"/>
      <c r="Q5" s="10"/>
      <c r="R5" s="13"/>
      <c r="S5" s="13"/>
      <c r="T5" s="13"/>
      <c r="U5" s="13">
        <v>0</v>
      </c>
      <c r="V5" s="13">
        <v>4358</v>
      </c>
      <c r="W5" s="13">
        <v>0</v>
      </c>
      <c r="X5" s="13">
        <v>4358</v>
      </c>
      <c r="Y5" s="13"/>
      <c r="Z5" s="13">
        <v>0</v>
      </c>
      <c r="AA5" s="13">
        <v>81671</v>
      </c>
      <c r="AB5" s="13"/>
      <c r="AC5" s="13"/>
      <c r="AD5" s="13">
        <v>0</v>
      </c>
      <c r="AE5" s="13">
        <v>3916</v>
      </c>
      <c r="AF5" s="13"/>
      <c r="AG5" s="13">
        <v>0</v>
      </c>
      <c r="AH5" s="13">
        <v>35181</v>
      </c>
      <c r="AI5" s="13"/>
      <c r="AJ5" s="13"/>
      <c r="AK5" s="13"/>
      <c r="AL5" s="13"/>
      <c r="AM5" s="13">
        <v>0</v>
      </c>
      <c r="AN5" s="13">
        <v>27060</v>
      </c>
      <c r="AO5" s="13"/>
      <c r="AP5" s="13"/>
      <c r="AQ5" s="13"/>
    </row>
    <row r="6" spans="1:43" x14ac:dyDescent="0.2">
      <c r="A6" s="1" t="s">
        <v>170</v>
      </c>
      <c r="B6" s="1" t="s">
        <v>172</v>
      </c>
      <c r="C6" s="1" t="s">
        <v>148</v>
      </c>
      <c r="D6" s="1" t="s">
        <v>564</v>
      </c>
      <c r="E6" s="10"/>
      <c r="F6" s="10"/>
      <c r="G6" s="10"/>
      <c r="H6" s="10"/>
      <c r="I6" s="10"/>
      <c r="J6" s="10"/>
      <c r="K6" s="10"/>
      <c r="L6" s="10"/>
      <c r="M6" s="10"/>
      <c r="N6" s="10"/>
      <c r="O6" s="10"/>
      <c r="P6" s="10"/>
      <c r="Q6" s="10"/>
      <c r="R6" s="13"/>
      <c r="S6" s="13"/>
      <c r="T6" s="13"/>
      <c r="U6" s="13"/>
      <c r="V6" s="13"/>
      <c r="W6" s="13"/>
      <c r="X6" s="13"/>
      <c r="Y6" s="13"/>
      <c r="Z6" s="13"/>
      <c r="AA6" s="13"/>
      <c r="AB6" s="13"/>
      <c r="AC6" s="13"/>
      <c r="AD6" s="13"/>
      <c r="AE6" s="13"/>
      <c r="AF6" s="13"/>
      <c r="AG6" s="13"/>
      <c r="AH6" s="13"/>
      <c r="AI6" s="13"/>
      <c r="AJ6" s="13"/>
      <c r="AK6" s="13"/>
      <c r="AL6" s="13"/>
      <c r="AM6" s="13">
        <v>908563</v>
      </c>
      <c r="AN6" s="13">
        <v>0</v>
      </c>
      <c r="AO6" s="13"/>
      <c r="AP6" s="13"/>
      <c r="AQ6" s="13"/>
    </row>
    <row r="7" spans="1:43" x14ac:dyDescent="0.2">
      <c r="A7" s="1" t="s">
        <v>170</v>
      </c>
      <c r="B7" s="1" t="s">
        <v>172</v>
      </c>
      <c r="C7" s="1" t="s">
        <v>148</v>
      </c>
      <c r="D7" s="1" t="s">
        <v>351</v>
      </c>
      <c r="E7" s="10">
        <v>258928</v>
      </c>
      <c r="F7" s="10" t="s">
        <v>176</v>
      </c>
      <c r="G7" s="10">
        <v>348705</v>
      </c>
      <c r="H7" s="10">
        <v>560315</v>
      </c>
      <c r="I7" s="10"/>
      <c r="J7" s="10"/>
      <c r="K7" s="10"/>
      <c r="L7" s="10"/>
      <c r="M7" s="10"/>
      <c r="N7" s="10"/>
      <c r="O7" s="10">
        <v>0</v>
      </c>
      <c r="P7" s="10">
        <v>48437209</v>
      </c>
      <c r="Q7" s="10"/>
      <c r="R7" s="13"/>
      <c r="S7" s="13"/>
      <c r="T7" s="13"/>
      <c r="U7" s="13" t="s">
        <v>176</v>
      </c>
      <c r="V7" s="13" t="s">
        <v>176</v>
      </c>
      <c r="W7" s="13">
        <v>0</v>
      </c>
      <c r="X7" s="13" t="s">
        <v>176</v>
      </c>
      <c r="Y7" s="13"/>
      <c r="Z7" s="13">
        <v>0</v>
      </c>
      <c r="AA7" s="13" t="s">
        <v>176</v>
      </c>
      <c r="AB7" s="13"/>
      <c r="AC7" s="13"/>
      <c r="AD7" s="13"/>
      <c r="AE7" s="13"/>
      <c r="AF7" s="13"/>
      <c r="AG7" s="13"/>
      <c r="AH7" s="13"/>
      <c r="AI7" s="13"/>
      <c r="AJ7" s="13"/>
      <c r="AK7" s="13"/>
      <c r="AL7" s="13"/>
      <c r="AM7" s="13"/>
      <c r="AN7" s="13"/>
      <c r="AO7" s="13"/>
      <c r="AP7" s="13"/>
      <c r="AQ7" s="13"/>
    </row>
    <row r="8" spans="1:43" x14ac:dyDescent="0.2">
      <c r="A8" s="1" t="s">
        <v>170</v>
      </c>
      <c r="B8" s="1" t="s">
        <v>172</v>
      </c>
      <c r="C8" s="1" t="s">
        <v>148</v>
      </c>
      <c r="D8" s="1" t="s">
        <v>708</v>
      </c>
      <c r="E8" s="10">
        <v>13742</v>
      </c>
      <c r="F8" s="10" t="s">
        <v>176</v>
      </c>
      <c r="G8" s="10">
        <v>48947</v>
      </c>
      <c r="H8" s="10">
        <v>0</v>
      </c>
      <c r="I8" s="10"/>
      <c r="J8" s="10"/>
      <c r="K8" s="10"/>
      <c r="L8" s="10"/>
      <c r="M8" s="10"/>
      <c r="N8" s="10"/>
      <c r="O8" s="10"/>
      <c r="P8" s="10"/>
      <c r="Q8" s="10"/>
      <c r="R8" s="13"/>
      <c r="S8" s="13"/>
      <c r="T8" s="13"/>
      <c r="U8" s="13">
        <v>0</v>
      </c>
      <c r="V8" s="13">
        <v>306941</v>
      </c>
      <c r="W8" s="13">
        <v>0</v>
      </c>
      <c r="X8" s="13">
        <v>47002</v>
      </c>
      <c r="Y8" s="13"/>
      <c r="Z8" s="13">
        <v>0</v>
      </c>
      <c r="AA8" s="13">
        <v>251632</v>
      </c>
      <c r="AB8" s="13"/>
      <c r="AC8" s="13"/>
      <c r="AD8" s="13"/>
      <c r="AE8" s="13"/>
      <c r="AF8" s="13"/>
      <c r="AG8" s="13"/>
      <c r="AH8" s="13"/>
      <c r="AI8" s="13"/>
      <c r="AJ8" s="13"/>
      <c r="AK8" s="13"/>
      <c r="AL8" s="13"/>
      <c r="AM8" s="13"/>
      <c r="AN8" s="13"/>
      <c r="AO8" s="13"/>
      <c r="AP8" s="13"/>
      <c r="AQ8" s="13"/>
    </row>
    <row r="9" spans="1:43" x14ac:dyDescent="0.2">
      <c r="A9" s="1" t="s">
        <v>170</v>
      </c>
      <c r="B9" s="1" t="s">
        <v>172</v>
      </c>
      <c r="C9" s="1" t="s">
        <v>148</v>
      </c>
      <c r="D9" s="1" t="s">
        <v>361</v>
      </c>
      <c r="E9" s="10">
        <v>40927</v>
      </c>
      <c r="F9" s="10" t="s">
        <v>176</v>
      </c>
      <c r="G9" s="10">
        <v>24492</v>
      </c>
      <c r="H9" s="10">
        <v>0</v>
      </c>
      <c r="I9" s="10"/>
      <c r="J9" s="10"/>
      <c r="K9" s="10"/>
      <c r="L9" s="10"/>
      <c r="M9" s="10"/>
      <c r="N9" s="10"/>
      <c r="O9" s="10">
        <v>0</v>
      </c>
      <c r="P9" s="10">
        <v>267718</v>
      </c>
      <c r="Q9" s="10"/>
      <c r="R9" s="13"/>
      <c r="S9" s="13"/>
      <c r="T9" s="13"/>
      <c r="U9" s="13" t="s">
        <v>176</v>
      </c>
      <c r="V9" s="13" t="s">
        <v>176</v>
      </c>
      <c r="W9" s="13" t="s">
        <v>176</v>
      </c>
      <c r="X9" s="13">
        <v>109228</v>
      </c>
      <c r="Y9" s="13"/>
      <c r="Z9" s="13">
        <v>0</v>
      </c>
      <c r="AA9" s="13" t="s">
        <v>176</v>
      </c>
      <c r="AB9" s="13"/>
      <c r="AC9" s="13"/>
      <c r="AD9" s="13"/>
      <c r="AE9" s="13"/>
      <c r="AF9" s="13"/>
      <c r="AG9" s="13"/>
      <c r="AH9" s="13"/>
      <c r="AI9" s="13"/>
      <c r="AJ9" s="13"/>
      <c r="AK9" s="13"/>
      <c r="AL9" s="13"/>
      <c r="AM9" s="13"/>
      <c r="AN9" s="13"/>
      <c r="AO9" s="13"/>
      <c r="AP9" s="13"/>
      <c r="AQ9" s="13"/>
    </row>
    <row r="10" spans="1:43" x14ac:dyDescent="0.2">
      <c r="A10" s="1" t="s">
        <v>170</v>
      </c>
      <c r="B10" s="1" t="s">
        <v>172</v>
      </c>
      <c r="C10" s="1" t="s">
        <v>148</v>
      </c>
      <c r="D10" s="1" t="s">
        <v>476</v>
      </c>
      <c r="E10" s="10"/>
      <c r="F10" s="10"/>
      <c r="G10" s="10"/>
      <c r="H10" s="10"/>
      <c r="I10" s="10"/>
      <c r="J10" s="10"/>
      <c r="K10" s="10"/>
      <c r="L10" s="10"/>
      <c r="M10" s="10"/>
      <c r="N10" s="10"/>
      <c r="O10" s="10"/>
      <c r="P10" s="10"/>
      <c r="Q10" s="10"/>
      <c r="R10" s="13"/>
      <c r="S10" s="13"/>
      <c r="T10" s="13"/>
      <c r="U10" s="13">
        <v>0</v>
      </c>
      <c r="V10" s="13">
        <v>12000</v>
      </c>
      <c r="W10" s="13">
        <v>0</v>
      </c>
      <c r="X10" s="13">
        <v>17500</v>
      </c>
      <c r="Y10" s="13"/>
      <c r="Z10" s="13">
        <v>0</v>
      </c>
      <c r="AA10" s="13" t="s">
        <v>176</v>
      </c>
      <c r="AB10" s="13"/>
      <c r="AC10" s="13"/>
      <c r="AD10" s="13">
        <v>0</v>
      </c>
      <c r="AE10" s="13">
        <v>66486</v>
      </c>
      <c r="AF10" s="13"/>
      <c r="AG10" s="13"/>
      <c r="AH10" s="13"/>
      <c r="AI10" s="13"/>
      <c r="AJ10" s="13"/>
      <c r="AK10" s="13"/>
      <c r="AL10" s="13"/>
      <c r="AM10" s="13"/>
      <c r="AN10" s="13"/>
      <c r="AO10" s="13"/>
      <c r="AP10" s="13"/>
      <c r="AQ10" s="13"/>
    </row>
    <row r="11" spans="1:43" x14ac:dyDescent="0.2">
      <c r="A11" s="1" t="s">
        <v>170</v>
      </c>
      <c r="B11" s="1" t="s">
        <v>172</v>
      </c>
      <c r="C11" s="1" t="s">
        <v>148</v>
      </c>
      <c r="D11" s="1" t="s">
        <v>477</v>
      </c>
      <c r="E11" s="10"/>
      <c r="F11" s="10"/>
      <c r="G11" s="10"/>
      <c r="H11" s="10"/>
      <c r="I11" s="10"/>
      <c r="J11" s="10"/>
      <c r="K11" s="10"/>
      <c r="L11" s="10"/>
      <c r="M11" s="10"/>
      <c r="N11" s="10"/>
      <c r="O11" s="10"/>
      <c r="P11" s="10"/>
      <c r="Q11" s="10"/>
      <c r="R11" s="13"/>
      <c r="S11" s="13"/>
      <c r="T11" s="13"/>
      <c r="U11" s="13"/>
      <c r="V11" s="13"/>
      <c r="W11" s="13" t="s">
        <v>176</v>
      </c>
      <c r="X11" s="13" t="s">
        <v>176</v>
      </c>
      <c r="Y11" s="13"/>
      <c r="Z11" s="13">
        <v>0</v>
      </c>
      <c r="AA11" s="13">
        <v>66486</v>
      </c>
      <c r="AB11" s="13"/>
      <c r="AC11" s="13"/>
      <c r="AD11" s="13"/>
      <c r="AE11" s="13"/>
      <c r="AF11" s="13"/>
      <c r="AG11" s="13"/>
      <c r="AH11" s="13"/>
      <c r="AI11" s="13"/>
      <c r="AJ11" s="13"/>
      <c r="AK11" s="13"/>
      <c r="AL11" s="13"/>
      <c r="AM11" s="13"/>
      <c r="AN11" s="13"/>
      <c r="AO11" s="13"/>
      <c r="AP11" s="13"/>
      <c r="AQ11" s="13"/>
    </row>
    <row r="12" spans="1:43" x14ac:dyDescent="0.2">
      <c r="A12" s="1" t="s">
        <v>170</v>
      </c>
      <c r="B12" s="1" t="s">
        <v>172</v>
      </c>
      <c r="C12" s="1" t="s">
        <v>148</v>
      </c>
      <c r="D12" s="1" t="s">
        <v>658</v>
      </c>
      <c r="E12" s="10"/>
      <c r="F12" s="10"/>
      <c r="G12" s="10"/>
      <c r="H12" s="10"/>
      <c r="I12" s="10"/>
      <c r="J12" s="10"/>
      <c r="K12" s="10"/>
      <c r="L12" s="10"/>
      <c r="M12" s="10"/>
      <c r="N12" s="10"/>
      <c r="O12" s="10"/>
      <c r="P12" s="10"/>
      <c r="Q12" s="10"/>
      <c r="R12" s="13"/>
      <c r="S12" s="13"/>
      <c r="T12" s="13"/>
      <c r="U12" s="13"/>
      <c r="V12" s="13"/>
      <c r="W12" s="13"/>
      <c r="X12" s="13"/>
      <c r="Y12" s="13"/>
      <c r="Z12" s="13"/>
      <c r="AA12" s="13"/>
      <c r="AB12" s="13"/>
      <c r="AC12" s="13"/>
      <c r="AD12" s="13"/>
      <c r="AE12" s="13"/>
      <c r="AF12" s="13"/>
      <c r="AG12" s="13">
        <v>125000</v>
      </c>
      <c r="AH12" s="13"/>
      <c r="AI12" s="13"/>
      <c r="AJ12" s="13"/>
      <c r="AK12" s="13"/>
      <c r="AL12" s="13"/>
      <c r="AM12" s="13"/>
      <c r="AN12" s="13"/>
      <c r="AO12" s="13"/>
      <c r="AP12" s="13"/>
      <c r="AQ12" s="13"/>
    </row>
    <row r="13" spans="1:43" x14ac:dyDescent="0.2">
      <c r="A13" s="1" t="s">
        <v>170</v>
      </c>
      <c r="B13" s="1" t="s">
        <v>172</v>
      </c>
      <c r="C13" s="1" t="s">
        <v>148</v>
      </c>
      <c r="D13" s="1" t="s">
        <v>657</v>
      </c>
      <c r="E13" s="10"/>
      <c r="F13" s="10"/>
      <c r="G13" s="10"/>
      <c r="H13" s="10"/>
      <c r="I13" s="10"/>
      <c r="J13" s="10"/>
      <c r="K13" s="10"/>
      <c r="L13" s="10"/>
      <c r="M13" s="10"/>
      <c r="N13" s="10"/>
      <c r="O13" s="10"/>
      <c r="P13" s="10"/>
      <c r="Q13" s="10"/>
      <c r="R13" s="13"/>
      <c r="S13" s="13"/>
      <c r="T13" s="13"/>
      <c r="U13" s="13"/>
      <c r="V13" s="13"/>
      <c r="W13" s="13" t="s">
        <v>176</v>
      </c>
      <c r="X13" s="13" t="s">
        <v>176</v>
      </c>
      <c r="Y13" s="13"/>
      <c r="Z13" s="13">
        <v>0</v>
      </c>
      <c r="AA13" s="13" t="s">
        <v>176</v>
      </c>
      <c r="AB13" s="13"/>
      <c r="AC13" s="13"/>
      <c r="AD13" s="13"/>
      <c r="AE13" s="13"/>
      <c r="AF13" s="13"/>
      <c r="AG13" s="13">
        <v>27873</v>
      </c>
      <c r="AH13" s="13"/>
      <c r="AI13" s="13"/>
      <c r="AJ13" s="13"/>
      <c r="AK13" s="13"/>
      <c r="AL13" s="13"/>
      <c r="AM13" s="13">
        <v>978360</v>
      </c>
      <c r="AN13" s="13">
        <v>0</v>
      </c>
      <c r="AO13" s="13"/>
      <c r="AP13" s="13"/>
      <c r="AQ13" s="13"/>
    </row>
    <row r="14" spans="1:43" s="7" customFormat="1" x14ac:dyDescent="0.2">
      <c r="A14" s="7" t="s">
        <v>170</v>
      </c>
      <c r="B14" s="7" t="s">
        <v>172</v>
      </c>
      <c r="C14" s="7" t="s">
        <v>148</v>
      </c>
      <c r="D14" s="7" t="s">
        <v>219</v>
      </c>
      <c r="E14" s="15">
        <f>SUM(E3:E13)</f>
        <v>450780</v>
      </c>
      <c r="F14" s="15">
        <f>SUM(F3:F13)</f>
        <v>465995</v>
      </c>
      <c r="G14" s="15">
        <f>SUM(G3:G13)</f>
        <v>639770</v>
      </c>
      <c r="H14" s="15">
        <f>SUM(H3:H13)</f>
        <v>647253</v>
      </c>
      <c r="I14" s="15"/>
      <c r="J14" s="15"/>
      <c r="K14" s="15"/>
      <c r="L14" s="15"/>
      <c r="M14" s="15"/>
      <c r="N14" s="15"/>
      <c r="O14" s="15">
        <f>SUM(O3:O13)</f>
        <v>1233303</v>
      </c>
      <c r="P14" s="15">
        <f>SUM(P3:P13)</f>
        <v>48705348</v>
      </c>
      <c r="Q14" s="15"/>
      <c r="R14" s="16"/>
      <c r="S14" s="16"/>
      <c r="T14" s="16"/>
      <c r="U14" s="15">
        <f>SUM(U3:U13)</f>
        <v>522</v>
      </c>
      <c r="V14" s="15">
        <f>SUM(V3:V13)</f>
        <v>2417794</v>
      </c>
      <c r="W14" s="15">
        <f>SUM(W3:W13)</f>
        <v>0</v>
      </c>
      <c r="X14" s="15">
        <f>SUM(X3:X13)</f>
        <v>2514664</v>
      </c>
      <c r="Y14" s="16"/>
      <c r="Z14" s="15">
        <f>SUM(Z3:Z13)</f>
        <v>0</v>
      </c>
      <c r="AA14" s="15">
        <f>SUM(AA3:AA13)</f>
        <v>3085787</v>
      </c>
      <c r="AB14" s="16"/>
      <c r="AC14" s="16"/>
      <c r="AD14" s="15">
        <f>SUM(AD3:AD13)</f>
        <v>1453038</v>
      </c>
      <c r="AE14" s="15">
        <f>SUM(AE3:AE13)</f>
        <v>3666935</v>
      </c>
      <c r="AF14" s="16"/>
      <c r="AG14" s="15">
        <f>SUM(AG3:AG13)</f>
        <v>1551377</v>
      </c>
      <c r="AH14" s="15">
        <f>SUM(AH3:AH13)</f>
        <v>6013215</v>
      </c>
      <c r="AI14" s="16"/>
      <c r="AJ14" s="16"/>
      <c r="AK14" s="16"/>
      <c r="AL14" s="15"/>
      <c r="AM14" s="15">
        <f>SUM(AM3:AM13)</f>
        <v>2557658</v>
      </c>
      <c r="AN14" s="15">
        <f>SUM(AN3:AN13)</f>
        <v>4282194</v>
      </c>
      <c r="AO14" s="16"/>
      <c r="AP14" s="16"/>
      <c r="AQ14" s="16"/>
    </row>
    <row r="15" spans="1:43" x14ac:dyDescent="0.2">
      <c r="A15" s="1" t="s">
        <v>170</v>
      </c>
      <c r="B15" s="1" t="s">
        <v>172</v>
      </c>
      <c r="C15" s="1" t="s">
        <v>149</v>
      </c>
      <c r="D15" s="1" t="s">
        <v>443</v>
      </c>
      <c r="E15" s="10"/>
      <c r="F15" s="10"/>
      <c r="G15" s="10"/>
      <c r="H15" s="10"/>
      <c r="I15" s="10"/>
      <c r="J15" s="10"/>
      <c r="K15" s="10"/>
      <c r="L15" s="10"/>
      <c r="M15" s="10"/>
      <c r="N15" s="10"/>
      <c r="O15" s="10">
        <v>3175328</v>
      </c>
      <c r="P15" s="10">
        <v>18356294</v>
      </c>
      <c r="Q15" s="10"/>
      <c r="R15" s="13"/>
      <c r="S15" s="13"/>
      <c r="T15" s="13"/>
      <c r="U15" s="13">
        <v>22399670</v>
      </c>
      <c r="V15" s="13">
        <v>2897325</v>
      </c>
      <c r="W15" s="13">
        <v>21878745</v>
      </c>
      <c r="X15" s="13">
        <v>2499625</v>
      </c>
      <c r="Y15" s="13"/>
      <c r="Z15" s="13" t="s">
        <v>176</v>
      </c>
      <c r="AA15" s="13" t="s">
        <v>176</v>
      </c>
      <c r="AB15" s="13"/>
      <c r="AC15" s="13"/>
      <c r="AD15" s="13" t="s">
        <v>176</v>
      </c>
      <c r="AE15" s="13" t="s">
        <v>176</v>
      </c>
      <c r="AF15" s="13"/>
      <c r="AG15" s="13"/>
      <c r="AH15" s="13"/>
      <c r="AI15" s="13"/>
      <c r="AJ15" s="13"/>
      <c r="AK15" s="13"/>
      <c r="AL15" s="13"/>
      <c r="AM15" s="13"/>
      <c r="AN15" s="13"/>
      <c r="AO15" s="13"/>
      <c r="AP15" s="13"/>
      <c r="AQ15" s="13"/>
    </row>
    <row r="16" spans="1:43" x14ac:dyDescent="0.2">
      <c r="A16" s="1" t="s">
        <v>170</v>
      </c>
      <c r="B16" s="1" t="s">
        <v>172</v>
      </c>
      <c r="C16" s="1" t="s">
        <v>149</v>
      </c>
      <c r="D16" s="19" t="s">
        <v>563</v>
      </c>
      <c r="E16" s="15"/>
      <c r="F16" s="15"/>
      <c r="G16" s="15"/>
      <c r="H16" s="15"/>
      <c r="I16" s="15"/>
      <c r="J16" s="15"/>
      <c r="K16" s="15"/>
      <c r="L16" s="15"/>
      <c r="M16" s="15"/>
      <c r="N16" s="15"/>
      <c r="O16" s="15"/>
      <c r="P16" s="15"/>
      <c r="Q16" s="15"/>
      <c r="R16" s="15"/>
      <c r="S16" s="15"/>
      <c r="T16" s="15"/>
      <c r="U16" s="15"/>
      <c r="V16" s="15"/>
      <c r="W16" s="15"/>
      <c r="X16" s="15"/>
      <c r="Y16" s="15"/>
      <c r="Z16" s="24">
        <v>301239</v>
      </c>
      <c r="AA16" s="24">
        <v>1500168</v>
      </c>
      <c r="AB16" s="15"/>
      <c r="AC16" s="15"/>
      <c r="AD16" s="24">
        <v>472333</v>
      </c>
      <c r="AE16" s="24">
        <v>18023</v>
      </c>
      <c r="AF16" s="15"/>
      <c r="AG16" s="24">
        <v>463219</v>
      </c>
      <c r="AH16" s="24">
        <v>5617916</v>
      </c>
      <c r="AI16" s="15"/>
      <c r="AJ16" s="15"/>
      <c r="AK16" s="15"/>
      <c r="AL16" s="15"/>
      <c r="AM16" s="24">
        <v>888303</v>
      </c>
      <c r="AN16" s="24">
        <v>2318108</v>
      </c>
      <c r="AO16" s="15"/>
      <c r="AP16" s="15"/>
      <c r="AQ16" s="15"/>
    </row>
    <row r="17" spans="1:43" x14ac:dyDescent="0.2">
      <c r="A17" s="1" t="s">
        <v>170</v>
      </c>
      <c r="B17" s="1" t="s">
        <v>172</v>
      </c>
      <c r="C17" s="1" t="s">
        <v>149</v>
      </c>
      <c r="D17" s="1" t="s">
        <v>564</v>
      </c>
      <c r="E17" s="13"/>
      <c r="F17" s="13"/>
      <c r="G17" s="13"/>
      <c r="H17" s="13"/>
      <c r="I17" s="13"/>
      <c r="J17" s="13"/>
      <c r="K17" s="13"/>
      <c r="L17" s="13"/>
      <c r="M17" s="13"/>
      <c r="N17" s="13"/>
      <c r="O17" s="13"/>
      <c r="P17" s="13"/>
      <c r="Q17" s="13"/>
      <c r="R17" s="13"/>
      <c r="S17" s="13"/>
      <c r="T17" s="13"/>
      <c r="U17" s="13"/>
      <c r="V17" s="13"/>
      <c r="W17" s="13"/>
      <c r="X17" s="13"/>
      <c r="Y17" s="13"/>
      <c r="Z17" s="13">
        <v>30760438</v>
      </c>
      <c r="AA17" s="13">
        <v>2927481</v>
      </c>
      <c r="AB17" s="13"/>
      <c r="AC17" s="13"/>
      <c r="AD17" s="13">
        <v>24469840</v>
      </c>
      <c r="AE17" s="13">
        <v>3963667</v>
      </c>
      <c r="AF17" s="13"/>
      <c r="AG17" s="13">
        <v>23201777</v>
      </c>
      <c r="AH17" s="13">
        <v>186000</v>
      </c>
      <c r="AI17" s="13"/>
      <c r="AJ17" s="13"/>
      <c r="AK17" s="13"/>
      <c r="AL17" s="13"/>
      <c r="AM17" s="24">
        <v>15426445</v>
      </c>
      <c r="AN17" s="24">
        <v>3823984</v>
      </c>
      <c r="AO17" s="13"/>
      <c r="AP17" s="13"/>
      <c r="AQ17" s="13"/>
    </row>
    <row r="18" spans="1:43" x14ac:dyDescent="0.2">
      <c r="A18" s="1" t="s">
        <v>170</v>
      </c>
      <c r="B18" s="1" t="s">
        <v>172</v>
      </c>
      <c r="C18" s="1" t="s">
        <v>149</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row>
    <row r="19" spans="1:43" x14ac:dyDescent="0.2">
      <c r="A19" s="1" t="s">
        <v>170</v>
      </c>
      <c r="B19" s="1" t="s">
        <v>172</v>
      </c>
      <c r="C19" s="1" t="s">
        <v>149</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row>
    <row r="20" spans="1:43" s="7" customFormat="1" x14ac:dyDescent="0.2">
      <c r="A20" s="7" t="s">
        <v>170</v>
      </c>
      <c r="B20" s="7" t="s">
        <v>172</v>
      </c>
      <c r="C20" s="7" t="s">
        <v>149</v>
      </c>
      <c r="D20" s="7" t="s">
        <v>219</v>
      </c>
      <c r="E20" s="16">
        <f>SUM(E15:E19)</f>
        <v>0</v>
      </c>
      <c r="F20" s="16">
        <f>SUM(F15:F19)</f>
        <v>0</v>
      </c>
      <c r="G20" s="16">
        <f>SUM(G15:G19)</f>
        <v>0</v>
      </c>
      <c r="H20" s="16">
        <f>SUM(H15:H19)</f>
        <v>0</v>
      </c>
      <c r="I20" s="16"/>
      <c r="J20" s="16"/>
      <c r="K20" s="16"/>
      <c r="L20" s="16"/>
      <c r="M20" s="16"/>
      <c r="N20" s="16"/>
      <c r="O20" s="16">
        <f>SUM(O15:O19)</f>
        <v>3175328</v>
      </c>
      <c r="P20" s="16">
        <f>SUM(P15:P19)</f>
        <v>18356294</v>
      </c>
      <c r="Q20" s="16"/>
      <c r="R20" s="16"/>
      <c r="S20" s="16"/>
      <c r="T20" s="16"/>
      <c r="U20" s="16">
        <f>SUM(U15:U19)</f>
        <v>22399670</v>
      </c>
      <c r="V20" s="16">
        <f>SUM(V15:V19)</f>
        <v>2897325</v>
      </c>
      <c r="W20" s="16">
        <f>SUM(W15:W19)</f>
        <v>21878745</v>
      </c>
      <c r="X20" s="16">
        <f>SUM(X15:X19)</f>
        <v>2499625</v>
      </c>
      <c r="Y20" s="16"/>
      <c r="Z20" s="16">
        <f>SUM(Z15:Z19)</f>
        <v>31061677</v>
      </c>
      <c r="AA20" s="16">
        <f>SUM(AA15:AA19)</f>
        <v>4427649</v>
      </c>
      <c r="AB20" s="16"/>
      <c r="AC20" s="16"/>
      <c r="AD20" s="16">
        <f>SUM(AD15:AD19)</f>
        <v>24942173</v>
      </c>
      <c r="AE20" s="16">
        <f>SUM(AE15:AE19)</f>
        <v>3981690</v>
      </c>
      <c r="AF20" s="16"/>
      <c r="AG20" s="16">
        <f>SUM(AG15:AG19)</f>
        <v>23664996</v>
      </c>
      <c r="AH20" s="16">
        <f>SUM(AH15:AH19)</f>
        <v>5803916</v>
      </c>
      <c r="AI20" s="16"/>
      <c r="AJ20" s="16"/>
      <c r="AK20" s="16"/>
      <c r="AL20" s="16"/>
      <c r="AM20" s="16">
        <f>SUM(AM15:AM19)</f>
        <v>16314748</v>
      </c>
      <c r="AN20" s="16">
        <f>SUM(AN15:AN19)</f>
        <v>6142092</v>
      </c>
      <c r="AO20" s="16"/>
      <c r="AP20" s="16"/>
      <c r="AQ20" s="16"/>
    </row>
    <row r="21" spans="1:43" x14ac:dyDescent="0.2">
      <c r="A21" s="1" t="s">
        <v>170</v>
      </c>
      <c r="B21" s="1" t="s">
        <v>172</v>
      </c>
      <c r="C21" s="1" t="s">
        <v>150</v>
      </c>
      <c r="D21" s="1" t="s">
        <v>319</v>
      </c>
      <c r="E21" s="13">
        <v>0</v>
      </c>
      <c r="F21" s="13">
        <v>22677</v>
      </c>
      <c r="G21" s="13">
        <v>0</v>
      </c>
      <c r="H21" s="13">
        <v>0</v>
      </c>
      <c r="I21" s="13"/>
      <c r="J21" s="13"/>
      <c r="K21" s="13"/>
      <c r="L21" s="13"/>
      <c r="M21" s="13"/>
      <c r="N21" s="13"/>
      <c r="O21" s="13">
        <v>12514676</v>
      </c>
      <c r="P21" s="13">
        <v>0</v>
      </c>
      <c r="Q21" s="13"/>
      <c r="R21" s="13"/>
      <c r="S21" s="13"/>
      <c r="T21" s="13"/>
      <c r="U21" s="13">
        <v>0</v>
      </c>
      <c r="V21" s="13">
        <v>17017720</v>
      </c>
      <c r="W21" s="13">
        <v>25781363</v>
      </c>
      <c r="X21" s="13">
        <v>17541446</v>
      </c>
      <c r="Y21" s="13"/>
      <c r="Z21" s="13">
        <v>17955584</v>
      </c>
      <c r="AA21" s="13">
        <v>16849920</v>
      </c>
      <c r="AB21" s="13"/>
      <c r="AC21" s="13"/>
      <c r="AD21" s="13">
        <f>307882+33733491</f>
        <v>34041373</v>
      </c>
      <c r="AE21" s="13">
        <f>3597043+24903785</f>
        <v>28500828</v>
      </c>
      <c r="AF21" s="13"/>
      <c r="AG21" s="13">
        <f>AG25-AG22</f>
        <v>36481967</v>
      </c>
      <c r="AH21" s="13">
        <f>AH25-AH22</f>
        <v>30566391</v>
      </c>
      <c r="AI21" s="13"/>
      <c r="AJ21" s="13"/>
      <c r="AK21" s="13"/>
      <c r="AL21" s="13"/>
      <c r="AM21" s="13">
        <f>AM25-AM22</f>
        <v>42212748</v>
      </c>
      <c r="AN21" s="13">
        <f>AN25-AN22</f>
        <v>37849154</v>
      </c>
      <c r="AO21" s="13"/>
      <c r="AP21" s="13"/>
      <c r="AQ21" s="13"/>
    </row>
    <row r="22" spans="1:43" x14ac:dyDescent="0.2">
      <c r="A22" s="1" t="s">
        <v>170</v>
      </c>
      <c r="B22" s="1" t="s">
        <v>172</v>
      </c>
      <c r="C22" s="1" t="s">
        <v>150</v>
      </c>
      <c r="D22" s="1" t="s">
        <v>394</v>
      </c>
      <c r="E22" s="13"/>
      <c r="F22" s="13"/>
      <c r="G22" s="13"/>
      <c r="H22" s="13"/>
      <c r="I22" s="13"/>
      <c r="J22" s="13"/>
      <c r="K22" s="13"/>
      <c r="L22" s="13"/>
      <c r="M22" s="13"/>
      <c r="N22" s="13"/>
      <c r="O22" s="13">
        <v>-1136551</v>
      </c>
      <c r="P22" s="13">
        <v>0</v>
      </c>
      <c r="Q22" s="13"/>
      <c r="R22" s="13"/>
      <c r="S22" s="13"/>
      <c r="T22" s="13"/>
      <c r="U22" s="13"/>
      <c r="V22" s="13">
        <v>-2974406</v>
      </c>
      <c r="W22" s="13">
        <v>-8343435</v>
      </c>
      <c r="X22" s="13">
        <v>-3417824</v>
      </c>
      <c r="Y22" s="13"/>
      <c r="Z22" s="13"/>
      <c r="AA22" s="13"/>
      <c r="AB22" s="13"/>
      <c r="AC22" s="13"/>
      <c r="AD22" s="13">
        <v>-11026990</v>
      </c>
      <c r="AE22" s="13">
        <v>-6024275</v>
      </c>
      <c r="AF22" s="13"/>
      <c r="AG22" s="13">
        <v>-12440740</v>
      </c>
      <c r="AH22" s="13">
        <v>-7473467</v>
      </c>
      <c r="AI22" s="13"/>
      <c r="AJ22" s="13"/>
      <c r="AK22" s="13"/>
      <c r="AL22" s="13"/>
      <c r="AM22" s="13">
        <v>-16625215</v>
      </c>
      <c r="AN22" s="13">
        <v>-11870704</v>
      </c>
      <c r="AO22" s="13"/>
      <c r="AP22" s="13"/>
      <c r="AQ22" s="13"/>
    </row>
    <row r="23" spans="1:43" x14ac:dyDescent="0.2">
      <c r="A23" s="1" t="s">
        <v>170</v>
      </c>
      <c r="B23" s="1" t="s">
        <v>172</v>
      </c>
      <c r="C23" s="1" t="s">
        <v>150</v>
      </c>
      <c r="D23" s="7"/>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row>
    <row r="24" spans="1:43" x14ac:dyDescent="0.2">
      <c r="A24" s="1" t="s">
        <v>170</v>
      </c>
      <c r="B24" s="1" t="s">
        <v>172</v>
      </c>
      <c r="C24" s="1" t="s">
        <v>150</v>
      </c>
      <c r="D24" s="7"/>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row>
    <row r="25" spans="1:43" s="7" customFormat="1" x14ac:dyDescent="0.2">
      <c r="A25" s="7" t="s">
        <v>170</v>
      </c>
      <c r="B25" s="7" t="s">
        <v>172</v>
      </c>
      <c r="C25" s="7" t="s">
        <v>150</v>
      </c>
      <c r="D25" s="7" t="s">
        <v>219</v>
      </c>
      <c r="E25" s="16">
        <f t="shared" ref="E25:P25" si="0">SUM(E21:E24)</f>
        <v>0</v>
      </c>
      <c r="F25" s="16">
        <f t="shared" si="0"/>
        <v>22677</v>
      </c>
      <c r="G25" s="16">
        <f t="shared" si="0"/>
        <v>0</v>
      </c>
      <c r="H25" s="16">
        <f t="shared" si="0"/>
        <v>0</v>
      </c>
      <c r="I25" s="16">
        <f t="shared" si="0"/>
        <v>0</v>
      </c>
      <c r="J25" s="16">
        <f t="shared" si="0"/>
        <v>0</v>
      </c>
      <c r="K25" s="16">
        <f t="shared" si="0"/>
        <v>0</v>
      </c>
      <c r="L25" s="16">
        <f t="shared" si="0"/>
        <v>0</v>
      </c>
      <c r="M25" s="16">
        <f t="shared" si="0"/>
        <v>0</v>
      </c>
      <c r="N25" s="16">
        <f t="shared" si="0"/>
        <v>0</v>
      </c>
      <c r="O25" s="16">
        <f t="shared" si="0"/>
        <v>11378125</v>
      </c>
      <c r="P25" s="16">
        <f t="shared" si="0"/>
        <v>0</v>
      </c>
      <c r="Q25" s="16"/>
      <c r="R25" s="16"/>
      <c r="S25" s="16"/>
      <c r="T25" s="16"/>
      <c r="U25" s="16">
        <f>SUM(U21:U24)</f>
        <v>0</v>
      </c>
      <c r="V25" s="16">
        <f>SUM(V21:V24)</f>
        <v>14043314</v>
      </c>
      <c r="W25" s="16">
        <f>SUM(W21:W24)</f>
        <v>17437928</v>
      </c>
      <c r="X25" s="16">
        <f>SUM(X21:X24)</f>
        <v>14123622</v>
      </c>
      <c r="Y25" s="16"/>
      <c r="Z25" s="16">
        <f>SUM(Z21:Z24)</f>
        <v>17955584</v>
      </c>
      <c r="AA25" s="16">
        <f>SUM(AA21:AA24)</f>
        <v>16849920</v>
      </c>
      <c r="AB25" s="16"/>
      <c r="AC25" s="16"/>
      <c r="AD25" s="16">
        <f>SUM(AD21:AD24)</f>
        <v>23014383</v>
      </c>
      <c r="AE25" s="16">
        <f>SUM(AE21:AE24)</f>
        <v>22476553</v>
      </c>
      <c r="AF25" s="16"/>
      <c r="AG25" s="16">
        <v>24041227</v>
      </c>
      <c r="AH25" s="16">
        <v>23092924</v>
      </c>
      <c r="AI25" s="16"/>
      <c r="AJ25" s="16"/>
      <c r="AK25" s="16"/>
      <c r="AL25" s="16"/>
      <c r="AM25" s="16">
        <v>25587533</v>
      </c>
      <c r="AN25" s="16">
        <v>25978450</v>
      </c>
      <c r="AO25" s="16"/>
      <c r="AP25" s="16"/>
      <c r="AQ25" s="16"/>
    </row>
    <row r="26" spans="1:43" x14ac:dyDescent="0.2">
      <c r="A26" s="1" t="s">
        <v>170</v>
      </c>
      <c r="B26" s="1" t="s">
        <v>172</v>
      </c>
      <c r="C26" s="19" t="s">
        <v>151</v>
      </c>
      <c r="D26" s="1" t="s">
        <v>444</v>
      </c>
      <c r="E26" s="13"/>
      <c r="F26" s="13"/>
      <c r="G26" s="13"/>
      <c r="H26" s="13"/>
      <c r="I26" s="13"/>
      <c r="J26" s="13"/>
      <c r="K26" s="13"/>
      <c r="L26" s="13"/>
      <c r="M26" s="13"/>
      <c r="N26" s="13"/>
      <c r="O26" s="13">
        <v>375375</v>
      </c>
      <c r="P26" s="13">
        <v>1146620</v>
      </c>
      <c r="Q26" s="13"/>
      <c r="R26" s="13"/>
      <c r="S26" s="13"/>
      <c r="T26" s="13"/>
      <c r="U26" s="13">
        <v>907740</v>
      </c>
      <c r="V26" s="13">
        <v>232259</v>
      </c>
      <c r="W26" s="13">
        <v>859964</v>
      </c>
      <c r="X26" s="13">
        <v>236416</v>
      </c>
      <c r="Y26" s="13"/>
      <c r="Z26" s="13">
        <v>1024735</v>
      </c>
      <c r="AA26" s="13">
        <v>391697</v>
      </c>
      <c r="AB26" s="13"/>
      <c r="AC26" s="13"/>
      <c r="AD26" s="13">
        <v>649656</v>
      </c>
      <c r="AE26" s="13">
        <v>285075</v>
      </c>
      <c r="AF26" s="13"/>
      <c r="AG26" s="13">
        <v>556924</v>
      </c>
      <c r="AH26" s="13">
        <v>548061</v>
      </c>
      <c r="AI26" s="13"/>
      <c r="AJ26" s="13"/>
      <c r="AK26" s="13"/>
      <c r="AL26" s="13"/>
      <c r="AM26" s="13">
        <v>0</v>
      </c>
      <c r="AN26" s="13">
        <v>8402</v>
      </c>
      <c r="AO26" s="13"/>
      <c r="AP26" s="13"/>
      <c r="AQ26" s="13"/>
    </row>
    <row r="27" spans="1:43" x14ac:dyDescent="0.2">
      <c r="A27" s="1" t="s">
        <v>170</v>
      </c>
      <c r="B27" s="1" t="s">
        <v>172</v>
      </c>
      <c r="C27" s="19" t="s">
        <v>151</v>
      </c>
      <c r="D27" s="1" t="s">
        <v>445</v>
      </c>
      <c r="E27" s="13"/>
      <c r="F27" s="13"/>
      <c r="G27" s="13"/>
      <c r="H27" s="13"/>
      <c r="I27" s="13"/>
      <c r="J27" s="13"/>
      <c r="K27" s="13"/>
      <c r="L27" s="13"/>
      <c r="M27" s="13"/>
      <c r="N27" s="13"/>
      <c r="O27" s="13">
        <v>0</v>
      </c>
      <c r="P27" s="13">
        <v>4120938</v>
      </c>
      <c r="Q27" s="13"/>
      <c r="R27" s="13"/>
      <c r="S27" s="13"/>
      <c r="T27" s="13"/>
      <c r="U27" s="13">
        <v>3262408</v>
      </c>
      <c r="V27" s="13">
        <v>144786</v>
      </c>
      <c r="W27" s="13">
        <v>3090702</v>
      </c>
      <c r="X27" s="13">
        <v>310582</v>
      </c>
      <c r="Y27" s="13"/>
      <c r="Z27" s="13">
        <v>2747290</v>
      </c>
      <c r="AA27" s="13">
        <v>257718</v>
      </c>
      <c r="AB27" s="13"/>
      <c r="AC27" s="13"/>
      <c r="AD27" s="13">
        <v>1171980</v>
      </c>
      <c r="AE27" s="13">
        <v>178419</v>
      </c>
      <c r="AF27" s="13"/>
      <c r="AG27" s="13">
        <v>991676</v>
      </c>
      <c r="AH27" s="13">
        <v>406527</v>
      </c>
      <c r="AI27" s="13"/>
      <c r="AJ27" s="13"/>
      <c r="AK27" s="13"/>
      <c r="AL27" s="13"/>
      <c r="AM27" s="13"/>
      <c r="AN27" s="13"/>
      <c r="AO27" s="13"/>
      <c r="AP27" s="13"/>
      <c r="AQ27" s="13"/>
    </row>
    <row r="28" spans="1:43" x14ac:dyDescent="0.2">
      <c r="A28" s="1" t="s">
        <v>170</v>
      </c>
      <c r="B28" s="1" t="s">
        <v>172</v>
      </c>
      <c r="C28" s="19" t="s">
        <v>151</v>
      </c>
      <c r="D28" s="1" t="s">
        <v>478</v>
      </c>
      <c r="E28" s="13"/>
      <c r="F28" s="13"/>
      <c r="G28" s="13"/>
      <c r="H28" s="13"/>
      <c r="I28" s="13"/>
      <c r="J28" s="13"/>
      <c r="K28" s="13"/>
      <c r="L28" s="13"/>
      <c r="M28" s="13"/>
      <c r="N28" s="13"/>
      <c r="O28" s="13"/>
      <c r="P28" s="13"/>
      <c r="Q28" s="13"/>
      <c r="R28" s="13"/>
      <c r="S28" s="13"/>
      <c r="T28" s="13"/>
      <c r="U28" s="13">
        <v>0</v>
      </c>
      <c r="V28" s="13">
        <v>341623</v>
      </c>
      <c r="W28" s="13" t="s">
        <v>176</v>
      </c>
      <c r="X28" s="13" t="s">
        <v>176</v>
      </c>
      <c r="Y28" s="13"/>
      <c r="Z28" s="13">
        <v>0</v>
      </c>
      <c r="AA28" s="13">
        <v>1022899</v>
      </c>
      <c r="AB28" s="13"/>
      <c r="AC28" s="13"/>
      <c r="AD28" s="13"/>
      <c r="AE28" s="13"/>
      <c r="AF28" s="13"/>
      <c r="AG28" s="13"/>
      <c r="AH28" s="13"/>
      <c r="AI28" s="13"/>
      <c r="AJ28" s="13"/>
      <c r="AK28" s="13"/>
      <c r="AL28" s="13"/>
      <c r="AM28" s="13"/>
      <c r="AN28" s="13"/>
      <c r="AO28" s="13"/>
      <c r="AP28" s="13"/>
      <c r="AQ28" s="13"/>
    </row>
    <row r="29" spans="1:43" x14ac:dyDescent="0.2">
      <c r="A29" s="1" t="s">
        <v>170</v>
      </c>
      <c r="B29" s="1" t="s">
        <v>172</v>
      </c>
      <c r="C29" s="19" t="s">
        <v>151</v>
      </c>
      <c r="D29" s="1" t="s">
        <v>479</v>
      </c>
      <c r="E29" s="13"/>
      <c r="F29" s="13"/>
      <c r="G29" s="13"/>
      <c r="H29" s="13"/>
      <c r="I29" s="13"/>
      <c r="J29" s="13"/>
      <c r="K29" s="13"/>
      <c r="L29" s="13"/>
      <c r="M29" s="13"/>
      <c r="N29" s="13"/>
      <c r="O29" s="13"/>
      <c r="P29" s="13"/>
      <c r="Q29" s="13"/>
      <c r="R29" s="13"/>
      <c r="S29" s="13"/>
      <c r="T29" s="13"/>
      <c r="U29" s="13">
        <v>0</v>
      </c>
      <c r="V29" s="13">
        <v>145503</v>
      </c>
      <c r="W29" s="13">
        <v>0</v>
      </c>
      <c r="X29" s="13">
        <v>322835</v>
      </c>
      <c r="Y29" s="13"/>
      <c r="Z29" s="13">
        <v>2241465</v>
      </c>
      <c r="AA29" s="13">
        <v>427307</v>
      </c>
      <c r="AB29" s="13"/>
      <c r="AC29" s="13"/>
      <c r="AD29" s="13"/>
      <c r="AE29" s="13"/>
      <c r="AF29" s="13"/>
      <c r="AG29" s="13"/>
      <c r="AH29" s="13"/>
      <c r="AI29" s="13"/>
      <c r="AJ29" s="13"/>
      <c r="AK29" s="13"/>
      <c r="AL29" s="13"/>
      <c r="AM29" s="13"/>
      <c r="AN29" s="13"/>
      <c r="AO29" s="13"/>
      <c r="AP29" s="13"/>
      <c r="AQ29" s="13"/>
    </row>
    <row r="30" spans="1:43" x14ac:dyDescent="0.2">
      <c r="A30" s="1" t="s">
        <v>170</v>
      </c>
      <c r="B30" s="1" t="s">
        <v>172</v>
      </c>
      <c r="C30" s="19" t="s">
        <v>151</v>
      </c>
      <c r="D30" s="1" t="s">
        <v>565</v>
      </c>
      <c r="E30" s="13"/>
      <c r="F30" s="13"/>
      <c r="G30" s="13"/>
      <c r="H30" s="13"/>
      <c r="I30" s="13"/>
      <c r="J30" s="13"/>
      <c r="K30" s="13"/>
      <c r="L30" s="13"/>
      <c r="M30" s="13"/>
      <c r="N30" s="13"/>
      <c r="O30" s="13"/>
      <c r="P30" s="13"/>
      <c r="Q30" s="13"/>
      <c r="R30" s="13"/>
      <c r="S30" s="13"/>
      <c r="T30" s="13"/>
      <c r="U30" s="13"/>
      <c r="V30" s="13"/>
      <c r="W30" s="13"/>
      <c r="X30" s="13"/>
      <c r="Y30" s="13"/>
      <c r="Z30" s="13">
        <v>142550</v>
      </c>
      <c r="AA30" s="13">
        <v>0</v>
      </c>
      <c r="AB30" s="13"/>
      <c r="AC30" s="13"/>
      <c r="AD30" s="13">
        <v>357363</v>
      </c>
      <c r="AE30" s="13">
        <v>8677</v>
      </c>
      <c r="AF30" s="13"/>
      <c r="AG30" s="13"/>
      <c r="AH30" s="13"/>
      <c r="AI30" s="13"/>
      <c r="AJ30" s="13"/>
      <c r="AK30" s="13"/>
      <c r="AL30" s="13"/>
      <c r="AM30" s="13"/>
      <c r="AN30" s="13"/>
      <c r="AO30" s="13"/>
      <c r="AP30" s="13"/>
      <c r="AQ30" s="13"/>
    </row>
    <row r="31" spans="1:43" x14ac:dyDescent="0.2">
      <c r="A31" s="1" t="s">
        <v>170</v>
      </c>
      <c r="B31" s="1" t="s">
        <v>172</v>
      </c>
      <c r="C31" s="19" t="s">
        <v>151</v>
      </c>
      <c r="D31" s="1" t="s">
        <v>480</v>
      </c>
      <c r="E31" s="13"/>
      <c r="F31" s="13"/>
      <c r="G31" s="13"/>
      <c r="H31" s="13"/>
      <c r="I31" s="13"/>
      <c r="J31" s="13"/>
      <c r="K31" s="13"/>
      <c r="L31" s="13"/>
      <c r="M31" s="13"/>
      <c r="N31" s="13"/>
      <c r="O31" s="13"/>
      <c r="P31" s="13"/>
      <c r="Q31" s="13"/>
      <c r="R31" s="13"/>
      <c r="S31" s="13"/>
      <c r="T31" s="13"/>
      <c r="U31" s="13">
        <v>0</v>
      </c>
      <c r="V31" s="13">
        <v>7000000</v>
      </c>
      <c r="W31" s="13">
        <v>0</v>
      </c>
      <c r="X31" s="13">
        <v>7000000</v>
      </c>
      <c r="Y31" s="13"/>
      <c r="Z31" s="13">
        <v>0</v>
      </c>
      <c r="AA31" s="13">
        <v>7000000</v>
      </c>
      <c r="AB31" s="13"/>
      <c r="AC31" s="13"/>
      <c r="AD31" s="13"/>
      <c r="AE31" s="13"/>
      <c r="AF31" s="13"/>
      <c r="AG31" s="13"/>
      <c r="AH31" s="13"/>
      <c r="AI31" s="13"/>
      <c r="AJ31" s="13"/>
      <c r="AK31" s="13"/>
      <c r="AL31" s="13"/>
      <c r="AM31" s="13"/>
      <c r="AN31" s="13"/>
      <c r="AO31" s="13"/>
      <c r="AP31" s="13"/>
      <c r="AQ31" s="13"/>
    </row>
    <row r="32" spans="1:43" x14ac:dyDescent="0.2">
      <c r="A32" s="1" t="s">
        <v>170</v>
      </c>
      <c r="B32" s="1" t="s">
        <v>172</v>
      </c>
      <c r="C32" s="19" t="s">
        <v>151</v>
      </c>
      <c r="D32" s="1" t="s">
        <v>481</v>
      </c>
      <c r="E32" s="13"/>
      <c r="F32" s="13"/>
      <c r="G32" s="13"/>
      <c r="H32" s="13"/>
      <c r="I32" s="13"/>
      <c r="J32" s="13"/>
      <c r="K32" s="13"/>
      <c r="L32" s="13"/>
      <c r="M32" s="13"/>
      <c r="N32" s="13"/>
      <c r="O32" s="13"/>
      <c r="P32" s="13"/>
      <c r="Q32" s="13"/>
      <c r="R32" s="13"/>
      <c r="S32" s="13"/>
      <c r="T32" s="13"/>
      <c r="U32" s="13">
        <v>45429408</v>
      </c>
      <c r="V32" s="13">
        <v>0</v>
      </c>
      <c r="W32" s="13" t="s">
        <v>176</v>
      </c>
      <c r="X32" s="13" t="s">
        <v>176</v>
      </c>
      <c r="Y32" s="13"/>
      <c r="Z32" s="13" t="s">
        <v>176</v>
      </c>
      <c r="AA32" s="13" t="s">
        <v>176</v>
      </c>
      <c r="AB32" s="13"/>
      <c r="AC32" s="13"/>
      <c r="AD32" s="13"/>
      <c r="AE32" s="13"/>
      <c r="AF32" s="13"/>
      <c r="AG32" s="13"/>
      <c r="AH32" s="13"/>
      <c r="AI32" s="13"/>
      <c r="AJ32" s="13"/>
      <c r="AK32" s="13"/>
      <c r="AL32" s="13"/>
      <c r="AM32" s="13"/>
      <c r="AN32" s="13"/>
      <c r="AO32" s="13"/>
      <c r="AP32" s="13"/>
      <c r="AQ32" s="13"/>
    </row>
    <row r="33" spans="1:43" x14ac:dyDescent="0.2">
      <c r="A33" s="1" t="s">
        <v>170</v>
      </c>
      <c r="B33" s="1" t="s">
        <v>172</v>
      </c>
      <c r="C33" s="7" t="s">
        <v>151</v>
      </c>
      <c r="D33" s="7" t="s">
        <v>219</v>
      </c>
      <c r="E33" s="16">
        <f t="shared" ref="E33:P33" si="1">SUM(E26:E32)</f>
        <v>0</v>
      </c>
      <c r="F33" s="16">
        <f t="shared" si="1"/>
        <v>0</v>
      </c>
      <c r="G33" s="16">
        <f t="shared" si="1"/>
        <v>0</v>
      </c>
      <c r="H33" s="16">
        <f t="shared" si="1"/>
        <v>0</v>
      </c>
      <c r="I33" s="16">
        <f t="shared" si="1"/>
        <v>0</v>
      </c>
      <c r="J33" s="16">
        <f t="shared" si="1"/>
        <v>0</v>
      </c>
      <c r="K33" s="16">
        <f t="shared" si="1"/>
        <v>0</v>
      </c>
      <c r="L33" s="16">
        <f t="shared" si="1"/>
        <v>0</v>
      </c>
      <c r="M33" s="16">
        <f t="shared" si="1"/>
        <v>0</v>
      </c>
      <c r="N33" s="16">
        <f t="shared" si="1"/>
        <v>0</v>
      </c>
      <c r="O33" s="16">
        <f t="shared" si="1"/>
        <v>375375</v>
      </c>
      <c r="P33" s="16">
        <f t="shared" si="1"/>
        <v>5267558</v>
      </c>
      <c r="Q33" s="13"/>
      <c r="R33" s="13"/>
      <c r="S33" s="13"/>
      <c r="T33" s="13"/>
      <c r="U33" s="16">
        <f>SUM(U26:U32)</f>
        <v>49599556</v>
      </c>
      <c r="V33" s="16">
        <f>SUM(V26:V32)</f>
        <v>7864171</v>
      </c>
      <c r="W33" s="16">
        <f>SUM(W26:W32)</f>
        <v>3950666</v>
      </c>
      <c r="X33" s="16">
        <f>SUM(X26:X32)</f>
        <v>7869833</v>
      </c>
      <c r="Y33" s="13"/>
      <c r="Z33" s="16">
        <f>SUM(Z26:Z32)</f>
        <v>6156040</v>
      </c>
      <c r="AA33" s="16">
        <f>SUM(AA26:AA32)</f>
        <v>9099621</v>
      </c>
      <c r="AB33" s="13"/>
      <c r="AC33" s="13"/>
      <c r="AD33" s="16">
        <f>SUM(AD26:AD32)</f>
        <v>2178999</v>
      </c>
      <c r="AE33" s="16">
        <f>SUM(AE26:AE32)</f>
        <v>472171</v>
      </c>
      <c r="AF33" s="13"/>
      <c r="AG33" s="16">
        <f>SUM(AG26:AG32)</f>
        <v>1548600</v>
      </c>
      <c r="AH33" s="16">
        <f>SUM(AH26:AH32)</f>
        <v>954588</v>
      </c>
      <c r="AI33" s="16"/>
      <c r="AJ33" s="13"/>
      <c r="AK33" s="13"/>
      <c r="AL33" s="13"/>
      <c r="AM33" s="16">
        <f>SUM(AM26:AM32)</f>
        <v>0</v>
      </c>
      <c r="AN33" s="16">
        <f>SUM(AN26:AN32)</f>
        <v>8402</v>
      </c>
      <c r="AO33" s="13"/>
      <c r="AP33" s="13"/>
      <c r="AQ33" s="13"/>
    </row>
    <row r="34" spans="1:43" x14ac:dyDescent="0.2">
      <c r="A34" s="1" t="s">
        <v>170</v>
      </c>
      <c r="B34" s="1" t="s">
        <v>172</v>
      </c>
      <c r="C34" s="19" t="s">
        <v>158</v>
      </c>
      <c r="D34" s="19" t="s">
        <v>158</v>
      </c>
      <c r="E34" s="15">
        <v>0</v>
      </c>
      <c r="F34" s="15">
        <v>0</v>
      </c>
      <c r="G34" s="15">
        <v>0</v>
      </c>
      <c r="H34" s="24">
        <v>0</v>
      </c>
      <c r="I34" s="24">
        <v>0</v>
      </c>
      <c r="J34" s="24">
        <v>0</v>
      </c>
      <c r="K34" s="24">
        <v>0</v>
      </c>
      <c r="L34" s="24">
        <v>0</v>
      </c>
      <c r="M34" s="24">
        <v>0</v>
      </c>
      <c r="N34" s="24">
        <v>0</v>
      </c>
      <c r="O34" s="24">
        <v>0</v>
      </c>
      <c r="P34" s="24">
        <v>0</v>
      </c>
      <c r="Q34" s="15"/>
      <c r="R34" s="15"/>
      <c r="S34" s="15"/>
      <c r="T34" s="15"/>
      <c r="U34" s="24">
        <v>0</v>
      </c>
      <c r="V34" s="24">
        <v>0</v>
      </c>
      <c r="W34" s="24">
        <v>0</v>
      </c>
      <c r="X34" s="24">
        <v>0</v>
      </c>
      <c r="Y34" s="15"/>
      <c r="Z34" s="24">
        <v>0</v>
      </c>
      <c r="AA34" s="24">
        <v>0</v>
      </c>
      <c r="AB34" s="15"/>
      <c r="AC34" s="15"/>
      <c r="AD34" s="24">
        <v>0</v>
      </c>
      <c r="AE34" s="24">
        <v>0</v>
      </c>
      <c r="AF34" s="15"/>
      <c r="AG34" s="24">
        <v>0</v>
      </c>
      <c r="AH34" s="24">
        <v>0</v>
      </c>
      <c r="AI34" s="24"/>
      <c r="AJ34" s="15"/>
      <c r="AK34" s="15"/>
      <c r="AL34" s="15"/>
      <c r="AM34" s="24">
        <v>602991</v>
      </c>
      <c r="AN34" s="24">
        <v>468776</v>
      </c>
      <c r="AO34" s="15"/>
      <c r="AP34" s="15"/>
      <c r="AQ34" s="15"/>
    </row>
    <row r="35" spans="1:43" x14ac:dyDescent="0.2">
      <c r="A35" s="1" t="s">
        <v>170</v>
      </c>
      <c r="B35" s="1" t="s">
        <v>172</v>
      </c>
      <c r="C35" s="7" t="s">
        <v>152</v>
      </c>
      <c r="D35" s="7" t="s">
        <v>219</v>
      </c>
      <c r="E35" s="15">
        <f t="shared" ref="E35:N35" si="2">E34+E33+E25+E14</f>
        <v>450780</v>
      </c>
      <c r="F35" s="15">
        <f t="shared" si="2"/>
        <v>488672</v>
      </c>
      <c r="G35" s="15">
        <f t="shared" si="2"/>
        <v>639770</v>
      </c>
      <c r="H35" s="15">
        <f t="shared" si="2"/>
        <v>647253</v>
      </c>
      <c r="I35" s="15">
        <f t="shared" si="2"/>
        <v>0</v>
      </c>
      <c r="J35" s="15">
        <f t="shared" si="2"/>
        <v>0</v>
      </c>
      <c r="K35" s="15">
        <f t="shared" si="2"/>
        <v>0</v>
      </c>
      <c r="L35" s="15">
        <f t="shared" si="2"/>
        <v>0</v>
      </c>
      <c r="M35" s="15">
        <f t="shared" si="2"/>
        <v>0</v>
      </c>
      <c r="N35" s="15">
        <f t="shared" si="2"/>
        <v>0</v>
      </c>
      <c r="O35" s="15">
        <f>O34+O33+O25+O14+O20</f>
        <v>16162131</v>
      </c>
      <c r="P35" s="15">
        <f>P34+P33+P25+P14+P20</f>
        <v>72329200</v>
      </c>
      <c r="Q35" s="15"/>
      <c r="R35" s="15"/>
      <c r="S35" s="15"/>
      <c r="T35" s="15"/>
      <c r="U35" s="15">
        <f>U34+U33+U25+U14+U20</f>
        <v>71999748</v>
      </c>
      <c r="V35" s="15">
        <f>V34+V33+V25+V14+V20</f>
        <v>27222604</v>
      </c>
      <c r="W35" s="15">
        <f>W34+W33+W25+W14+W20</f>
        <v>43267339</v>
      </c>
      <c r="X35" s="15">
        <f>X34+X33+X25+X14+X20</f>
        <v>27007744</v>
      </c>
      <c r="Y35" s="15"/>
      <c r="Z35" s="15">
        <f>Z34+Z33+Z25+Z14+Z20</f>
        <v>55173301</v>
      </c>
      <c r="AA35" s="15">
        <f>AA34+AA33+AA25+AA14+AA20</f>
        <v>33462977</v>
      </c>
      <c r="AB35" s="15"/>
      <c r="AC35" s="15"/>
      <c r="AD35" s="15">
        <f>AD34+AD33+AD25+AD14+AD20</f>
        <v>51588593</v>
      </c>
      <c r="AE35" s="15">
        <f>AE34+AE33+AE25+AE14+AE20</f>
        <v>30597349</v>
      </c>
      <c r="AF35" s="15"/>
      <c r="AG35" s="15">
        <f>AG34+AG33+AG25+AG14+AG20</f>
        <v>50806200</v>
      </c>
      <c r="AH35" s="15">
        <f>AH34+AH33+AH25+AH14+AH20</f>
        <v>35864643</v>
      </c>
      <c r="AI35" s="15"/>
      <c r="AJ35" s="15"/>
      <c r="AK35" s="15"/>
      <c r="AL35" s="15"/>
      <c r="AM35" s="15">
        <f>AM34+AM33+AM25+AM14+AM20</f>
        <v>45062930</v>
      </c>
      <c r="AN35" s="15">
        <f>AN34+AN33+AN25+AN14+AN20</f>
        <v>36879914</v>
      </c>
      <c r="AO35" s="15"/>
      <c r="AP35" s="15"/>
      <c r="AQ35" s="15"/>
    </row>
    <row r="36" spans="1:43" x14ac:dyDescent="0.2">
      <c r="A36" s="1" t="s">
        <v>170</v>
      </c>
      <c r="B36" s="1" t="s">
        <v>172</v>
      </c>
      <c r="C36" s="1" t="s">
        <v>153</v>
      </c>
      <c r="D36" s="1" t="s">
        <v>320</v>
      </c>
      <c r="E36" s="1">
        <v>40187</v>
      </c>
      <c r="F36" s="1">
        <v>26615</v>
      </c>
      <c r="G36" s="1">
        <v>46383</v>
      </c>
      <c r="H36" s="1">
        <v>41544</v>
      </c>
      <c r="O36" s="1">
        <v>7800</v>
      </c>
      <c r="P36" s="1">
        <v>0</v>
      </c>
      <c r="U36" s="1">
        <v>0</v>
      </c>
      <c r="V36" s="1">
        <v>525</v>
      </c>
      <c r="W36" s="1">
        <v>0</v>
      </c>
      <c r="X36" s="1">
        <v>525</v>
      </c>
    </row>
    <row r="37" spans="1:43" x14ac:dyDescent="0.2">
      <c r="A37" s="1" t="s">
        <v>170</v>
      </c>
      <c r="B37" s="1" t="s">
        <v>172</v>
      </c>
      <c r="C37" s="1" t="s">
        <v>153</v>
      </c>
      <c r="D37" s="1" t="s">
        <v>321</v>
      </c>
      <c r="E37" s="1">
        <v>32628</v>
      </c>
      <c r="F37" s="1">
        <v>69689</v>
      </c>
      <c r="G37" s="1">
        <v>72968</v>
      </c>
      <c r="H37" s="1">
        <v>27389</v>
      </c>
      <c r="O37" s="1">
        <v>114202</v>
      </c>
      <c r="P37" s="1">
        <v>0</v>
      </c>
      <c r="U37" s="1">
        <v>0</v>
      </c>
      <c r="V37" s="1">
        <v>321008</v>
      </c>
      <c r="W37" s="1">
        <v>0</v>
      </c>
      <c r="X37" s="1">
        <v>239047</v>
      </c>
      <c r="Z37" s="1">
        <v>0</v>
      </c>
      <c r="AA37" s="1">
        <v>323002</v>
      </c>
      <c r="AD37" s="1">
        <v>0</v>
      </c>
      <c r="AE37" s="1">
        <v>93462</v>
      </c>
      <c r="AG37" s="1">
        <v>0</v>
      </c>
      <c r="AH37" s="1">
        <v>37182</v>
      </c>
      <c r="AM37" s="1">
        <v>159435</v>
      </c>
      <c r="AN37" s="1">
        <v>384925</v>
      </c>
    </row>
    <row r="38" spans="1:43" x14ac:dyDescent="0.2">
      <c r="A38" s="1" t="s">
        <v>170</v>
      </c>
      <c r="B38" s="1" t="s">
        <v>172</v>
      </c>
      <c r="C38" s="1" t="s">
        <v>153</v>
      </c>
      <c r="D38" s="1" t="s">
        <v>446</v>
      </c>
      <c r="E38" s="1" t="s">
        <v>176</v>
      </c>
      <c r="F38" s="1" t="s">
        <v>176</v>
      </c>
      <c r="G38" s="1" t="s">
        <v>176</v>
      </c>
      <c r="H38" s="1" t="s">
        <v>176</v>
      </c>
      <c r="O38" s="1">
        <v>36974</v>
      </c>
      <c r="P38" s="1">
        <v>0</v>
      </c>
      <c r="U38" s="1">
        <v>0</v>
      </c>
      <c r="V38" s="1">
        <v>49829</v>
      </c>
      <c r="W38" s="1">
        <v>0</v>
      </c>
      <c r="X38" s="1">
        <v>51942</v>
      </c>
      <c r="Z38" s="1">
        <v>0</v>
      </c>
      <c r="AA38" s="1">
        <v>59231</v>
      </c>
      <c r="AD38" s="1">
        <v>0</v>
      </c>
      <c r="AE38" s="1">
        <v>44163</v>
      </c>
    </row>
    <row r="39" spans="1:43" x14ac:dyDescent="0.2">
      <c r="A39" s="1" t="s">
        <v>170</v>
      </c>
      <c r="B39" s="1" t="s">
        <v>172</v>
      </c>
      <c r="C39" s="1" t="s">
        <v>153</v>
      </c>
      <c r="D39" s="1" t="s">
        <v>322</v>
      </c>
      <c r="E39" s="1" t="s">
        <v>176</v>
      </c>
      <c r="F39" s="1">
        <v>179400</v>
      </c>
      <c r="G39" s="1" t="s">
        <v>176</v>
      </c>
      <c r="H39" s="1" t="s">
        <v>176</v>
      </c>
      <c r="O39" s="1">
        <v>0</v>
      </c>
      <c r="P39" s="1">
        <v>0</v>
      </c>
      <c r="U39" s="1" t="s">
        <v>176</v>
      </c>
      <c r="V39" s="1" t="s">
        <v>176</v>
      </c>
      <c r="W39" s="1" t="s">
        <v>176</v>
      </c>
      <c r="X39" s="1" t="s">
        <v>176</v>
      </c>
    </row>
    <row r="40" spans="1:43" x14ac:dyDescent="0.2">
      <c r="A40" s="1" t="s">
        <v>170</v>
      </c>
      <c r="B40" s="1" t="s">
        <v>172</v>
      </c>
      <c r="C40" s="1" t="s">
        <v>153</v>
      </c>
      <c r="D40" s="1" t="s">
        <v>362</v>
      </c>
      <c r="E40" s="1">
        <v>43738</v>
      </c>
      <c r="F40" s="1" t="s">
        <v>176</v>
      </c>
      <c r="G40" s="1">
        <v>41527</v>
      </c>
      <c r="H40" s="1">
        <v>408</v>
      </c>
      <c r="O40" s="1">
        <v>851033</v>
      </c>
      <c r="P40" s="1">
        <v>0</v>
      </c>
      <c r="U40" s="1" t="s">
        <v>176</v>
      </c>
      <c r="V40" s="1" t="s">
        <v>176</v>
      </c>
      <c r="W40" s="1" t="s">
        <v>176</v>
      </c>
      <c r="X40" s="1" t="s">
        <v>176</v>
      </c>
      <c r="AG40" s="1">
        <v>0</v>
      </c>
      <c r="AH40" s="1">
        <v>39237</v>
      </c>
      <c r="AM40" s="1">
        <v>19203</v>
      </c>
      <c r="AN40" s="1">
        <v>0</v>
      </c>
    </row>
    <row r="41" spans="1:43" x14ac:dyDescent="0.2">
      <c r="A41" s="1" t="s">
        <v>170</v>
      </c>
      <c r="B41" s="1" t="s">
        <v>172</v>
      </c>
      <c r="C41" s="1" t="s">
        <v>153</v>
      </c>
      <c r="D41" s="1" t="s">
        <v>482</v>
      </c>
      <c r="U41" s="1">
        <v>2611847</v>
      </c>
      <c r="V41" s="1">
        <v>652000</v>
      </c>
      <c r="W41" s="1">
        <v>2669296</v>
      </c>
      <c r="X41" s="1">
        <v>744000</v>
      </c>
      <c r="Z41" s="1">
        <v>3010000</v>
      </c>
      <c r="AA41" s="1">
        <v>815000</v>
      </c>
      <c r="AD41" s="1">
        <v>3265000</v>
      </c>
      <c r="AE41" s="1">
        <v>1051536</v>
      </c>
      <c r="AG41" s="1">
        <v>3230006</v>
      </c>
      <c r="AH41" s="1">
        <v>1303302</v>
      </c>
      <c r="AM41" s="1">
        <v>4427456</v>
      </c>
      <c r="AN41" s="1">
        <v>1463704</v>
      </c>
    </row>
    <row r="42" spans="1:43" x14ac:dyDescent="0.2">
      <c r="A42" s="1" t="s">
        <v>170</v>
      </c>
      <c r="B42" s="1" t="s">
        <v>172</v>
      </c>
      <c r="C42" s="1" t="s">
        <v>153</v>
      </c>
      <c r="D42" s="1" t="s">
        <v>528</v>
      </c>
      <c r="U42" s="1" t="s">
        <v>176</v>
      </c>
      <c r="V42" s="1" t="s">
        <v>176</v>
      </c>
      <c r="W42" s="1">
        <v>194083</v>
      </c>
      <c r="X42" s="1">
        <v>13146</v>
      </c>
      <c r="Z42" s="1">
        <v>221180</v>
      </c>
      <c r="AA42" s="1">
        <v>22046</v>
      </c>
      <c r="AD42" s="1">
        <v>142367</v>
      </c>
      <c r="AE42" s="1">
        <v>24766</v>
      </c>
      <c r="AG42" s="1">
        <v>166141</v>
      </c>
      <c r="AH42" s="1">
        <v>109768</v>
      </c>
      <c r="AM42" s="1">
        <v>100973</v>
      </c>
      <c r="AN42" s="1">
        <v>14390</v>
      </c>
    </row>
    <row r="43" spans="1:43" x14ac:dyDescent="0.2">
      <c r="A43" s="1" t="s">
        <v>170</v>
      </c>
      <c r="B43" s="1" t="s">
        <v>172</v>
      </c>
      <c r="C43" s="1" t="s">
        <v>153</v>
      </c>
    </row>
    <row r="44" spans="1:43" x14ac:dyDescent="0.2">
      <c r="A44" s="1" t="s">
        <v>170</v>
      </c>
      <c r="B44" s="1" t="s">
        <v>172</v>
      </c>
      <c r="C44" s="1" t="s">
        <v>153</v>
      </c>
    </row>
    <row r="45" spans="1:43" s="7" customFormat="1" x14ac:dyDescent="0.2">
      <c r="A45" s="7" t="s">
        <v>170</v>
      </c>
      <c r="B45" s="7" t="s">
        <v>172</v>
      </c>
      <c r="C45" s="7" t="s">
        <v>153</v>
      </c>
      <c r="D45" s="7" t="s">
        <v>219</v>
      </c>
      <c r="E45" s="7">
        <f>SUM(E36:E44)</f>
        <v>116553</v>
      </c>
      <c r="F45" s="7">
        <f>SUM(F36:F44)</f>
        <v>275704</v>
      </c>
      <c r="G45" s="7">
        <f>SUM(G36:G44)</f>
        <v>160878</v>
      </c>
      <c r="H45" s="7">
        <f>SUM(H36:H44)</f>
        <v>69341</v>
      </c>
      <c r="O45" s="7">
        <f>SUM(O36:O44)</f>
        <v>1010009</v>
      </c>
      <c r="P45" s="7">
        <f>SUM(P36:P44)</f>
        <v>0</v>
      </c>
      <c r="U45" s="7">
        <f>SUM(U36:U44)</f>
        <v>2611847</v>
      </c>
      <c r="V45" s="7">
        <f>SUM(V36:V44)</f>
        <v>1023362</v>
      </c>
      <c r="W45" s="7">
        <f>SUM(W36:W44)</f>
        <v>2863379</v>
      </c>
      <c r="X45" s="7">
        <f>SUM(X36:X44)</f>
        <v>1048660</v>
      </c>
      <c r="Z45" s="7">
        <f>SUM(Z36:Z44)</f>
        <v>3231180</v>
      </c>
      <c r="AA45" s="7">
        <f>SUM(AA36:AA44)</f>
        <v>1219279</v>
      </c>
      <c r="AD45" s="7">
        <f>SUM(AD36:AD44)</f>
        <v>3407367</v>
      </c>
      <c r="AE45" s="7">
        <f>SUM(AE36:AE44)</f>
        <v>1213927</v>
      </c>
      <c r="AG45" s="7">
        <f>SUM(AG36:AG44)</f>
        <v>3396147</v>
      </c>
      <c r="AH45" s="7">
        <f>SUM(AH36:AH44)</f>
        <v>1489489</v>
      </c>
      <c r="AM45" s="7">
        <f>SUM(AM36:AM44)</f>
        <v>4707067</v>
      </c>
      <c r="AN45" s="7">
        <f>SUM(AN36:AN44)</f>
        <v>1863019</v>
      </c>
    </row>
    <row r="46" spans="1:43" x14ac:dyDescent="0.2">
      <c r="A46" s="1" t="s">
        <v>170</v>
      </c>
      <c r="B46" s="1" t="s">
        <v>172</v>
      </c>
      <c r="C46" s="1" t="s">
        <v>154</v>
      </c>
      <c r="D46" s="1" t="s">
        <v>447</v>
      </c>
      <c r="E46" s="1" t="s">
        <v>176</v>
      </c>
      <c r="F46" s="1" t="s">
        <v>176</v>
      </c>
      <c r="G46" s="1" t="s">
        <v>176</v>
      </c>
      <c r="H46" s="1" t="s">
        <v>176</v>
      </c>
      <c r="O46" s="1">
        <v>365000</v>
      </c>
      <c r="P46" s="1">
        <v>0</v>
      </c>
    </row>
    <row r="47" spans="1:43" x14ac:dyDescent="0.2">
      <c r="A47" s="1" t="s">
        <v>170</v>
      </c>
      <c r="B47" s="1" t="s">
        <v>172</v>
      </c>
      <c r="C47" s="1" t="s">
        <v>154</v>
      </c>
      <c r="D47" s="1" t="s">
        <v>448</v>
      </c>
      <c r="E47" s="1" t="s">
        <v>176</v>
      </c>
      <c r="F47" s="1" t="s">
        <v>176</v>
      </c>
      <c r="G47" s="1" t="s">
        <v>176</v>
      </c>
      <c r="H47" s="1" t="s">
        <v>176</v>
      </c>
      <c r="O47" s="1">
        <v>13185000</v>
      </c>
      <c r="P47" s="1">
        <f>23092209+755000+24590000</f>
        <v>48437209</v>
      </c>
      <c r="U47" s="1">
        <v>42817561</v>
      </c>
      <c r="V47" s="1">
        <v>10523000</v>
      </c>
      <c r="W47" s="1">
        <v>41912487</v>
      </c>
      <c r="X47" s="1">
        <v>10259000</v>
      </c>
      <c r="Z47" s="1">
        <v>44801983</v>
      </c>
      <c r="AA47" s="1">
        <v>14293000</v>
      </c>
      <c r="AD47" s="1">
        <v>41069749</v>
      </c>
      <c r="AE47" s="1">
        <v>15589255</v>
      </c>
      <c r="AG47" s="1">
        <v>37103620</v>
      </c>
      <c r="AH47" s="1">
        <v>18003829</v>
      </c>
      <c r="AM47" s="1">
        <v>21908748</v>
      </c>
      <c r="AN47" s="1">
        <v>11755064</v>
      </c>
    </row>
    <row r="48" spans="1:43" x14ac:dyDescent="0.2">
      <c r="A48" s="1" t="s">
        <v>170</v>
      </c>
      <c r="B48" s="1" t="s">
        <v>172</v>
      </c>
      <c r="C48" s="1" t="s">
        <v>154</v>
      </c>
      <c r="D48" s="1" t="s">
        <v>486</v>
      </c>
      <c r="U48" s="1" t="s">
        <v>440</v>
      </c>
      <c r="V48" s="1">
        <v>7000000</v>
      </c>
      <c r="W48" s="1">
        <v>0</v>
      </c>
      <c r="X48" s="1">
        <v>7000000</v>
      </c>
      <c r="Z48" s="1">
        <v>0</v>
      </c>
      <c r="AA48" s="1">
        <v>7000000</v>
      </c>
    </row>
    <row r="49" spans="1:40" x14ac:dyDescent="0.2">
      <c r="A49" s="1" t="s">
        <v>170</v>
      </c>
      <c r="B49" s="1" t="s">
        <v>172</v>
      </c>
      <c r="C49" s="1" t="s">
        <v>154</v>
      </c>
      <c r="D49" s="1" t="s">
        <v>659</v>
      </c>
      <c r="AG49" s="1" t="s">
        <v>440</v>
      </c>
      <c r="AH49" s="1">
        <v>27385</v>
      </c>
      <c r="AM49" s="1">
        <v>0</v>
      </c>
      <c r="AN49" s="1">
        <v>40144</v>
      </c>
    </row>
    <row r="50" spans="1:40" s="7" customFormat="1" x14ac:dyDescent="0.2">
      <c r="A50" s="7" t="s">
        <v>170</v>
      </c>
      <c r="B50" s="7" t="s">
        <v>172</v>
      </c>
      <c r="C50" s="7" t="s">
        <v>154</v>
      </c>
      <c r="D50" s="7" t="s">
        <v>219</v>
      </c>
      <c r="E50" s="7">
        <v>0</v>
      </c>
      <c r="F50" s="7">
        <v>0</v>
      </c>
      <c r="G50" s="7">
        <v>0</v>
      </c>
      <c r="H50" s="7">
        <v>0</v>
      </c>
      <c r="O50" s="7">
        <f>SUM(O46:O49)</f>
        <v>13550000</v>
      </c>
      <c r="P50" s="7">
        <f>SUM(P46:P49)</f>
        <v>48437209</v>
      </c>
      <c r="U50" s="7">
        <f>SUM(U46:U49)</f>
        <v>42817561</v>
      </c>
      <c r="V50" s="7">
        <f>SUM(V46:V49)</f>
        <v>17523000</v>
      </c>
      <c r="W50" s="7">
        <f>SUM(W46:W49)</f>
        <v>41912487</v>
      </c>
      <c r="X50" s="7">
        <f>SUM(X46:X49)</f>
        <v>17259000</v>
      </c>
      <c r="Z50" s="7">
        <f>SUM(Z46:Z49)</f>
        <v>44801983</v>
      </c>
      <c r="AA50" s="7">
        <f>SUM(AA46:AA49)</f>
        <v>21293000</v>
      </c>
      <c r="AD50" s="7">
        <f>SUM(AD46:AD49)</f>
        <v>41069749</v>
      </c>
      <c r="AE50" s="7">
        <f>SUM(AE46:AE49)</f>
        <v>15589255</v>
      </c>
      <c r="AG50" s="7">
        <f>SUM(AG46:AG49)</f>
        <v>37103620</v>
      </c>
      <c r="AH50" s="7">
        <f>SUM(AH46:AH49)</f>
        <v>18031214</v>
      </c>
      <c r="AM50" s="7">
        <f>SUM(AM46:AM49)</f>
        <v>21908748</v>
      </c>
      <c r="AN50" s="7">
        <f>SUM(AN46:AN49)</f>
        <v>11795208</v>
      </c>
    </row>
    <row r="51" spans="1:40" s="19" customFormat="1" x14ac:dyDescent="0.2">
      <c r="A51" s="1" t="s">
        <v>170</v>
      </c>
      <c r="B51" s="1" t="s">
        <v>172</v>
      </c>
      <c r="C51" s="1" t="s">
        <v>483</v>
      </c>
      <c r="D51" s="19" t="s">
        <v>484</v>
      </c>
      <c r="U51" s="19">
        <v>341623</v>
      </c>
      <c r="V51" s="19">
        <v>0</v>
      </c>
      <c r="W51" s="19">
        <v>429836</v>
      </c>
      <c r="X51" s="19">
        <v>-429836</v>
      </c>
      <c r="Z51" s="19">
        <v>1022899</v>
      </c>
      <c r="AA51" s="19">
        <v>0</v>
      </c>
    </row>
    <row r="52" spans="1:40" s="19" customFormat="1" x14ac:dyDescent="0.2">
      <c r="A52" s="1" t="s">
        <v>170</v>
      </c>
      <c r="B52" s="1" t="s">
        <v>172</v>
      </c>
      <c r="C52" s="1" t="s">
        <v>483</v>
      </c>
      <c r="D52" s="19" t="s">
        <v>485</v>
      </c>
      <c r="U52" s="19">
        <v>9429</v>
      </c>
      <c r="V52" s="19">
        <v>8597</v>
      </c>
      <c r="W52" s="19">
        <v>9429</v>
      </c>
      <c r="X52" s="19">
        <v>0</v>
      </c>
      <c r="Z52" s="19">
        <v>9429</v>
      </c>
      <c r="AA52" s="19">
        <v>0</v>
      </c>
    </row>
    <row r="53" spans="1:40" s="19" customFormat="1" x14ac:dyDescent="0.2">
      <c r="A53" s="1" t="s">
        <v>170</v>
      </c>
      <c r="B53" s="1" t="s">
        <v>172</v>
      </c>
      <c r="C53" s="1" t="s">
        <v>483</v>
      </c>
      <c r="D53" s="19" t="s">
        <v>566</v>
      </c>
      <c r="Z53" s="19">
        <v>1986420</v>
      </c>
      <c r="AA53" s="19">
        <v>0</v>
      </c>
    </row>
    <row r="54" spans="1:40" s="19" customFormat="1" x14ac:dyDescent="0.2">
      <c r="A54" s="1" t="s">
        <v>170</v>
      </c>
      <c r="B54" s="1" t="s">
        <v>172</v>
      </c>
      <c r="C54" s="1" t="s">
        <v>483</v>
      </c>
      <c r="D54" s="19" t="s">
        <v>596</v>
      </c>
      <c r="AD54" s="19">
        <v>429300</v>
      </c>
      <c r="AE54" s="19">
        <v>0</v>
      </c>
      <c r="AG54" s="1">
        <v>363254</v>
      </c>
      <c r="AH54" s="1">
        <v>123167</v>
      </c>
      <c r="AM54" s="19">
        <v>227833</v>
      </c>
      <c r="AN54" s="19">
        <v>26201</v>
      </c>
    </row>
    <row r="55" spans="1:40" s="19" customFormat="1" x14ac:dyDescent="0.2">
      <c r="A55" s="1" t="s">
        <v>170</v>
      </c>
      <c r="B55" s="1" t="s">
        <v>172</v>
      </c>
      <c r="C55" s="1" t="s">
        <v>483</v>
      </c>
      <c r="D55" s="19" t="s">
        <v>567</v>
      </c>
      <c r="Z55" s="19">
        <v>2341146</v>
      </c>
      <c r="AA55" s="19">
        <v>0</v>
      </c>
      <c r="AD55" s="19">
        <v>87122</v>
      </c>
      <c r="AE55" s="19">
        <v>0</v>
      </c>
    </row>
    <row r="56" spans="1:40" s="19" customFormat="1" x14ac:dyDescent="0.2">
      <c r="A56" s="7" t="s">
        <v>170</v>
      </c>
      <c r="B56" s="7" t="s">
        <v>172</v>
      </c>
      <c r="C56" s="7" t="s">
        <v>483</v>
      </c>
      <c r="D56" s="7" t="s">
        <v>219</v>
      </c>
      <c r="E56" s="7">
        <f>SUM(E51:E52)</f>
        <v>0</v>
      </c>
      <c r="F56" s="7">
        <f>SUM(F51:F52)</f>
        <v>0</v>
      </c>
      <c r="G56" s="7">
        <f>SUM(G51:G52)</f>
        <v>0</v>
      </c>
      <c r="H56" s="7">
        <f>SUM(H51:H52)</f>
        <v>0</v>
      </c>
      <c r="O56" s="7">
        <f>SUM(O51:O52)</f>
        <v>0</v>
      </c>
      <c r="P56" s="7">
        <f>SUM(P51:P52)</f>
        <v>0</v>
      </c>
      <c r="U56" s="7">
        <f>SUM(U51:U52)</f>
        <v>351052</v>
      </c>
      <c r="V56" s="7">
        <f>SUM(V51:V52)</f>
        <v>8597</v>
      </c>
      <c r="W56" s="7">
        <f>SUM(W51:W52)</f>
        <v>439265</v>
      </c>
      <c r="X56" s="7">
        <f>SUM(X51:X52)</f>
        <v>-429836</v>
      </c>
      <c r="Z56" s="7">
        <f>SUM(Z51:Z55)</f>
        <v>5359894</v>
      </c>
      <c r="AA56" s="7">
        <f>SUM(AA51:AA55)</f>
        <v>0</v>
      </c>
      <c r="AD56" s="7">
        <f>SUM(AD51:AD55)</f>
        <v>516422</v>
      </c>
      <c r="AE56" s="7">
        <f>SUM(AE51:AE55)</f>
        <v>0</v>
      </c>
      <c r="AF56" s="7">
        <f>SUM(AF51:AF55)</f>
        <v>0</v>
      </c>
      <c r="AG56" s="7">
        <f>SUM(AG51:AG55)</f>
        <v>363254</v>
      </c>
      <c r="AH56" s="7">
        <f>SUM(AH51:AH55)</f>
        <v>123167</v>
      </c>
      <c r="AM56" s="7">
        <f>SUM(AM51:AM55)</f>
        <v>227833</v>
      </c>
      <c r="AN56" s="7">
        <f>SUM(AN51:AN55)</f>
        <v>26201</v>
      </c>
    </row>
    <row r="57" spans="1:40" s="7" customFormat="1" x14ac:dyDescent="0.2">
      <c r="A57" s="7" t="s">
        <v>170</v>
      </c>
      <c r="B57" s="7" t="s">
        <v>172</v>
      </c>
      <c r="C57" s="7" t="s">
        <v>155</v>
      </c>
      <c r="D57" s="7" t="s">
        <v>219</v>
      </c>
      <c r="E57" s="7">
        <f>E50+E45+E56</f>
        <v>116553</v>
      </c>
      <c r="F57" s="7">
        <f>F50+F45+F56</f>
        <v>275704</v>
      </c>
      <c r="G57" s="7">
        <f>G50+G45+G56</f>
        <v>160878</v>
      </c>
      <c r="H57" s="7">
        <f>H50+H45+H56</f>
        <v>69341</v>
      </c>
      <c r="O57" s="7">
        <f>O50+O45+O56</f>
        <v>14560009</v>
      </c>
      <c r="P57" s="7">
        <f>P50+P45+P56</f>
        <v>48437209</v>
      </c>
      <c r="U57" s="7">
        <f>U50+U45+U56</f>
        <v>45780460</v>
      </c>
      <c r="V57" s="7">
        <f>V50+V45+V56</f>
        <v>18554959</v>
      </c>
      <c r="W57" s="7">
        <f>W50+W45+W56</f>
        <v>45215131</v>
      </c>
      <c r="X57" s="7">
        <f>X50+X45+X56</f>
        <v>17877824</v>
      </c>
      <c r="Z57" s="7">
        <f>Z50+Z45+Z56</f>
        <v>53393057</v>
      </c>
      <c r="AA57" s="7">
        <f>AA50+AA45+AA56</f>
        <v>22512279</v>
      </c>
      <c r="AD57" s="7">
        <f>AD50+AD45+AD56</f>
        <v>44993538</v>
      </c>
      <c r="AE57" s="7">
        <f>AE50+AE45+AE56</f>
        <v>16803182</v>
      </c>
      <c r="AF57" s="7">
        <f>AF50+AF45+AF56</f>
        <v>0</v>
      </c>
      <c r="AG57" s="7">
        <f>AG50+AG45+AG56</f>
        <v>40863021</v>
      </c>
      <c r="AH57" s="7">
        <f>AH50+AH45+AH56</f>
        <v>19643870</v>
      </c>
      <c r="AM57" s="7">
        <f>AM50+AM45+AM56</f>
        <v>26843648</v>
      </c>
      <c r="AN57" s="7">
        <f>AN50+AN45+AN56</f>
        <v>13684428</v>
      </c>
    </row>
    <row r="58" spans="1:40" x14ac:dyDescent="0.2">
      <c r="A58" s="1" t="s">
        <v>170</v>
      </c>
      <c r="B58" s="1" t="s">
        <v>172</v>
      </c>
      <c r="C58" s="19" t="s">
        <v>156</v>
      </c>
      <c r="D58" s="1" t="s">
        <v>487</v>
      </c>
      <c r="U58" s="1">
        <v>3819618</v>
      </c>
      <c r="V58" s="1">
        <v>5770320</v>
      </c>
      <c r="W58" s="1">
        <v>3317218</v>
      </c>
      <c r="X58" s="1">
        <v>3534829</v>
      </c>
      <c r="Z58" s="1">
        <v>5207119</v>
      </c>
      <c r="AA58" s="1">
        <v>4809136</v>
      </c>
      <c r="AD58" s="1">
        <v>4806750</v>
      </c>
      <c r="AE58" s="1">
        <v>3976715</v>
      </c>
      <c r="AG58" s="1">
        <v>731184</v>
      </c>
      <c r="AH58" s="1">
        <v>5985643</v>
      </c>
      <c r="AM58" s="1">
        <v>1867990</v>
      </c>
      <c r="AN58" s="1">
        <v>0</v>
      </c>
    </row>
    <row r="59" spans="1:40" x14ac:dyDescent="0.2">
      <c r="A59" s="1" t="s">
        <v>170</v>
      </c>
      <c r="B59" s="1" t="s">
        <v>172</v>
      </c>
      <c r="C59" s="1" t="s">
        <v>156</v>
      </c>
      <c r="D59" s="1" t="s">
        <v>488</v>
      </c>
      <c r="U59" s="1">
        <v>22399670</v>
      </c>
      <c r="V59" s="1">
        <v>2897325</v>
      </c>
      <c r="W59" s="1">
        <f>3093462+2861552</f>
        <v>5955014</v>
      </c>
      <c r="X59" s="1">
        <v>2474469</v>
      </c>
      <c r="Z59" s="1">
        <f>3236996+3076162</f>
        <v>6313158</v>
      </c>
      <c r="AA59" s="1">
        <v>2573536</v>
      </c>
      <c r="AD59" s="1">
        <v>147168</v>
      </c>
      <c r="AE59" s="1">
        <v>0</v>
      </c>
      <c r="AG59" s="1">
        <v>961053</v>
      </c>
      <c r="AH59" s="1">
        <v>0</v>
      </c>
      <c r="AM59" s="1">
        <v>748974</v>
      </c>
      <c r="AN59" s="1">
        <v>8006341</v>
      </c>
    </row>
    <row r="60" spans="1:40" x14ac:dyDescent="0.2">
      <c r="A60" s="1" t="s">
        <v>170</v>
      </c>
      <c r="B60" s="1" t="s">
        <v>172</v>
      </c>
      <c r="C60" s="1" t="s">
        <v>156</v>
      </c>
      <c r="D60" s="1" t="s">
        <v>529</v>
      </c>
      <c r="U60" s="1" t="s">
        <v>176</v>
      </c>
      <c r="V60" s="1" t="s">
        <v>176</v>
      </c>
      <c r="W60" s="1">
        <v>-11220024</v>
      </c>
      <c r="X60" s="1">
        <v>3120622</v>
      </c>
      <c r="Z60" s="1">
        <v>-9740033</v>
      </c>
      <c r="AA60" s="1">
        <v>3568026</v>
      </c>
      <c r="AD60" s="1">
        <v>1641137</v>
      </c>
      <c r="AE60" s="1">
        <v>9817452</v>
      </c>
      <c r="AG60" s="1">
        <v>8250942</v>
      </c>
      <c r="AH60" s="1">
        <v>10235140</v>
      </c>
      <c r="AM60" s="1">
        <v>15602318</v>
      </c>
      <c r="AN60" s="1">
        <v>15189145</v>
      </c>
    </row>
    <row r="61" spans="1:40" s="7" customFormat="1" x14ac:dyDescent="0.2">
      <c r="A61" s="7" t="s">
        <v>170</v>
      </c>
      <c r="B61" s="7" t="s">
        <v>172</v>
      </c>
      <c r="C61" s="7" t="s">
        <v>156</v>
      </c>
      <c r="D61" s="7" t="s">
        <v>219</v>
      </c>
      <c r="E61" s="7">
        <v>334227</v>
      </c>
      <c r="F61" s="7">
        <v>212968</v>
      </c>
      <c r="G61" s="7">
        <v>478892</v>
      </c>
      <c r="H61" s="7">
        <v>577912</v>
      </c>
      <c r="O61" s="7">
        <v>1602122</v>
      </c>
      <c r="P61" s="7">
        <v>23891991</v>
      </c>
      <c r="U61" s="7">
        <f>SUM(U58:U60)</f>
        <v>26219288</v>
      </c>
      <c r="V61" s="7">
        <f>SUM(V58:V60)</f>
        <v>8667645</v>
      </c>
      <c r="W61" s="7">
        <f>SUM(W58:W60)</f>
        <v>-1947792</v>
      </c>
      <c r="X61" s="7">
        <f>SUM(X58:X60)</f>
        <v>9129920</v>
      </c>
      <c r="Z61" s="7">
        <f>SUM(Z58:Z60)</f>
        <v>1780244</v>
      </c>
      <c r="AA61" s="7">
        <f>SUM(AA58:AA60)</f>
        <v>10950698</v>
      </c>
      <c r="AD61" s="7">
        <f>SUM(AD58:AD60)</f>
        <v>6595055</v>
      </c>
      <c r="AE61" s="7">
        <f>SUM(AE58:AE60)</f>
        <v>13794167</v>
      </c>
      <c r="AG61" s="7">
        <f>SUM(AG58:AG60)</f>
        <v>9943179</v>
      </c>
      <c r="AH61" s="7">
        <f>SUM(AH58:AH60)</f>
        <v>16220783</v>
      </c>
      <c r="AM61" s="7">
        <f>SUM(AM58:AM60)</f>
        <v>18219282</v>
      </c>
      <c r="AN61" s="7">
        <f>SUM(AN58:AN60)</f>
        <v>23195486</v>
      </c>
    </row>
    <row r="62" spans="1:40" x14ac:dyDescent="0.2">
      <c r="A62" s="1" t="s">
        <v>170</v>
      </c>
      <c r="B62" s="1" t="s">
        <v>172</v>
      </c>
      <c r="C62" s="1" t="s">
        <v>158</v>
      </c>
      <c r="E62" s="1">
        <v>0</v>
      </c>
      <c r="F62" s="1">
        <v>0</v>
      </c>
      <c r="G62" s="1">
        <v>0</v>
      </c>
      <c r="H62" s="1">
        <v>0</v>
      </c>
      <c r="O62" s="1">
        <v>0</v>
      </c>
      <c r="P62" s="1">
        <v>0</v>
      </c>
      <c r="U62" s="1">
        <v>0</v>
      </c>
      <c r="V62" s="1">
        <v>0</v>
      </c>
      <c r="W62" s="1">
        <v>0</v>
      </c>
      <c r="X62" s="1">
        <v>0</v>
      </c>
      <c r="Z62" s="1">
        <v>0</v>
      </c>
      <c r="AA62" s="1">
        <v>0</v>
      </c>
      <c r="AD62" s="1">
        <v>0</v>
      </c>
      <c r="AE62" s="1">
        <v>0</v>
      </c>
      <c r="AG62" s="1">
        <v>0</v>
      </c>
      <c r="AH62" s="1">
        <v>0</v>
      </c>
      <c r="AM62" s="1">
        <v>0</v>
      </c>
      <c r="AN62" s="1">
        <v>0</v>
      </c>
    </row>
    <row r="63" spans="1:40" s="7" customFormat="1" x14ac:dyDescent="0.2">
      <c r="A63" s="7" t="s">
        <v>170</v>
      </c>
      <c r="B63" s="7" t="s">
        <v>172</v>
      </c>
      <c r="C63" s="7" t="s">
        <v>157</v>
      </c>
      <c r="E63" s="7">
        <f>E61+E57</f>
        <v>450780</v>
      </c>
      <c r="F63" s="7">
        <f>F61+F57</f>
        <v>488672</v>
      </c>
      <c r="G63" s="7">
        <f>G61+G57</f>
        <v>639770</v>
      </c>
      <c r="H63" s="7">
        <f>H61+H57</f>
        <v>647253</v>
      </c>
      <c r="O63" s="7">
        <f>O61+O57</f>
        <v>16162131</v>
      </c>
      <c r="P63" s="7">
        <f>P61+P57</f>
        <v>72329200</v>
      </c>
      <c r="U63" s="7">
        <f>U61+U57</f>
        <v>71999748</v>
      </c>
      <c r="V63" s="7">
        <f>V61+V57</f>
        <v>27222604</v>
      </c>
      <c r="W63" s="7">
        <f>W61+W57</f>
        <v>43267339</v>
      </c>
      <c r="X63" s="7">
        <f>X61+X57</f>
        <v>27007744</v>
      </c>
      <c r="Z63" s="7">
        <f>Z61+Z57</f>
        <v>55173301</v>
      </c>
      <c r="AA63" s="7">
        <f>AA61+AA57</f>
        <v>33462977</v>
      </c>
      <c r="AD63" s="7">
        <f>AD61+AD57</f>
        <v>51588593</v>
      </c>
      <c r="AE63" s="7">
        <f>AE61+AE57</f>
        <v>30597349</v>
      </c>
      <c r="AG63" s="7">
        <f>AG61+AG57</f>
        <v>50806200</v>
      </c>
      <c r="AH63" s="7">
        <f>AH61+AH57</f>
        <v>35864653</v>
      </c>
      <c r="AM63" s="7">
        <f>AM61+AM57</f>
        <v>45062930</v>
      </c>
      <c r="AN63" s="7">
        <f>AN61+AN57</f>
        <v>36879914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7"/>
  <sheetViews>
    <sheetView tabSelected="1" topLeftCell="B1" workbookViewId="0">
      <selection activeCell="C3" sqref="C3"/>
    </sheetView>
  </sheetViews>
  <sheetFormatPr baseColWidth="10" defaultColWidth="8.83203125" defaultRowHeight="15" x14ac:dyDescent="0.2"/>
  <cols>
    <col min="1" max="1" width="10.1640625" style="1" bestFit="1" customWidth="1"/>
    <col min="2" max="16384" width="8.83203125" style="1"/>
  </cols>
  <sheetData>
    <row r="1" spans="1:19" x14ac:dyDescent="0.2">
      <c r="A1" s="18" t="s">
        <v>0</v>
      </c>
      <c r="B1" s="18" t="s">
        <v>27</v>
      </c>
      <c r="C1" s="18" t="s">
        <v>2</v>
      </c>
      <c r="D1" s="18" t="s">
        <v>24</v>
      </c>
      <c r="E1" s="18" t="s">
        <v>77</v>
      </c>
      <c r="F1" s="18" t="s">
        <v>78</v>
      </c>
      <c r="G1" s="18" t="s">
        <v>79</v>
      </c>
      <c r="H1" s="18" t="s">
        <v>80</v>
      </c>
      <c r="I1" s="18" t="s">
        <v>4</v>
      </c>
      <c r="J1" s="18" t="s">
        <v>5</v>
      </c>
      <c r="K1" s="18" t="s">
        <v>81</v>
      </c>
      <c r="L1" s="18" t="s">
        <v>159</v>
      </c>
      <c r="M1" s="18" t="s">
        <v>160</v>
      </c>
      <c r="N1" s="18" t="s">
        <v>161</v>
      </c>
      <c r="O1" s="18" t="s">
        <v>163</v>
      </c>
      <c r="P1" s="18" t="s">
        <v>82</v>
      </c>
      <c r="Q1" s="18" t="s">
        <v>83</v>
      </c>
      <c r="R1" s="18" t="s">
        <v>84</v>
      </c>
      <c r="S1" s="18" t="s">
        <v>85</v>
      </c>
    </row>
    <row r="2" spans="1:19" x14ac:dyDescent="0.2">
      <c r="A2" s="1" t="s">
        <v>170</v>
      </c>
      <c r="B2" s="1" t="s">
        <v>172</v>
      </c>
      <c r="C2" s="1">
        <v>1990</v>
      </c>
      <c r="D2" s="1" t="s">
        <v>173</v>
      </c>
      <c r="E2" s="1" t="s">
        <v>285</v>
      </c>
      <c r="F2" s="1" t="s">
        <v>176</v>
      </c>
      <c r="G2" s="1" t="s">
        <v>176</v>
      </c>
      <c r="H2" s="1">
        <v>5000000</v>
      </c>
      <c r="I2" s="1">
        <v>1990</v>
      </c>
      <c r="J2" s="1">
        <v>2010</v>
      </c>
      <c r="K2" s="1" t="s">
        <v>174</v>
      </c>
      <c r="L2" s="1">
        <v>115</v>
      </c>
      <c r="M2" s="1">
        <v>115</v>
      </c>
      <c r="N2" s="1" t="s">
        <v>193</v>
      </c>
      <c r="O2" s="1" t="s">
        <v>286</v>
      </c>
      <c r="P2" s="1" t="s">
        <v>175</v>
      </c>
      <c r="Q2" s="1" t="s">
        <v>287</v>
      </c>
      <c r="R2" s="1" t="s">
        <v>287</v>
      </c>
    </row>
    <row r="3" spans="1:19" x14ac:dyDescent="0.2">
      <c r="A3" s="1" t="s">
        <v>170</v>
      </c>
      <c r="B3" s="1" t="s">
        <v>172</v>
      </c>
      <c r="C3" s="1">
        <v>1991</v>
      </c>
      <c r="D3" s="1" t="s">
        <v>281</v>
      </c>
      <c r="E3" s="1" t="s">
        <v>326</v>
      </c>
      <c r="F3" s="1" t="s">
        <v>327</v>
      </c>
      <c r="G3" s="1" t="s">
        <v>176</v>
      </c>
      <c r="H3" s="1">
        <v>15351908</v>
      </c>
      <c r="I3" s="1">
        <v>1991</v>
      </c>
      <c r="J3" s="1">
        <v>2021</v>
      </c>
      <c r="K3" s="1" t="s">
        <v>174</v>
      </c>
      <c r="L3" s="1">
        <v>110</v>
      </c>
      <c r="M3" s="1" t="s">
        <v>176</v>
      </c>
      <c r="N3" s="1" t="s">
        <v>363</v>
      </c>
      <c r="O3" s="1" t="s">
        <v>514</v>
      </c>
      <c r="P3" s="1" t="s">
        <v>175</v>
      </c>
      <c r="Q3" s="1" t="s">
        <v>287</v>
      </c>
      <c r="R3" s="1" t="s">
        <v>328</v>
      </c>
      <c r="S3" s="1" t="s">
        <v>325</v>
      </c>
    </row>
    <row r="4" spans="1:19" x14ac:dyDescent="0.2">
      <c r="A4" s="1" t="s">
        <v>170</v>
      </c>
      <c r="B4" s="1" t="s">
        <v>172</v>
      </c>
      <c r="C4" s="1">
        <v>1995</v>
      </c>
      <c r="D4" s="1" t="s">
        <v>173</v>
      </c>
      <c r="E4" s="1" t="s">
        <v>326</v>
      </c>
      <c r="F4" s="1" t="s">
        <v>327</v>
      </c>
      <c r="G4" s="1" t="s">
        <v>176</v>
      </c>
      <c r="H4" s="1">
        <v>13565000</v>
      </c>
      <c r="I4" s="1">
        <v>1995</v>
      </c>
      <c r="J4" s="1">
        <v>2015</v>
      </c>
      <c r="K4" s="1" t="s">
        <v>174</v>
      </c>
      <c r="L4" s="1">
        <v>110</v>
      </c>
      <c r="M4" s="1">
        <v>110</v>
      </c>
      <c r="N4" s="1" t="s">
        <v>193</v>
      </c>
      <c r="O4" s="1" t="s">
        <v>286</v>
      </c>
      <c r="P4" s="1" t="s">
        <v>175</v>
      </c>
      <c r="Q4" s="1" t="s">
        <v>287</v>
      </c>
      <c r="R4" s="1" t="s">
        <v>368</v>
      </c>
    </row>
    <row r="5" spans="1:19" x14ac:dyDescent="0.2">
      <c r="A5" s="1" t="s">
        <v>170</v>
      </c>
      <c r="B5" s="1" t="s">
        <v>172</v>
      </c>
      <c r="C5" s="1">
        <v>1996</v>
      </c>
      <c r="D5" s="1" t="s">
        <v>281</v>
      </c>
      <c r="E5" s="1" t="s">
        <v>326</v>
      </c>
      <c r="F5" s="1" t="s">
        <v>327</v>
      </c>
      <c r="G5" s="1" t="s">
        <v>176</v>
      </c>
      <c r="H5" s="1">
        <v>2425000</v>
      </c>
      <c r="I5" s="1">
        <v>1996</v>
      </c>
      <c r="J5" s="1">
        <v>2021</v>
      </c>
      <c r="K5" s="1" t="s">
        <v>174</v>
      </c>
      <c r="L5" s="1">
        <v>110</v>
      </c>
      <c r="M5" s="1">
        <v>110</v>
      </c>
      <c r="N5" s="1" t="s">
        <v>193</v>
      </c>
      <c r="O5" s="1" t="s">
        <v>514</v>
      </c>
      <c r="P5" s="1" t="s">
        <v>175</v>
      </c>
      <c r="Q5" s="1" t="s">
        <v>287</v>
      </c>
      <c r="R5" s="1" t="s">
        <v>368</v>
      </c>
      <c r="S5" s="1" t="s">
        <v>399</v>
      </c>
    </row>
    <row r="6" spans="1:19" x14ac:dyDescent="0.2">
      <c r="A6" s="1" t="s">
        <v>170</v>
      </c>
      <c r="B6" s="1" t="s">
        <v>172</v>
      </c>
      <c r="C6" s="1">
        <v>1998</v>
      </c>
      <c r="D6" s="1" t="s">
        <v>173</v>
      </c>
      <c r="E6" s="1" t="s">
        <v>326</v>
      </c>
      <c r="F6" s="1" t="s">
        <v>176</v>
      </c>
      <c r="G6" s="1" t="s">
        <v>176</v>
      </c>
      <c r="H6" s="1">
        <v>8575000</v>
      </c>
      <c r="I6" s="1">
        <v>1998</v>
      </c>
      <c r="J6" s="1">
        <v>2015</v>
      </c>
      <c r="K6" s="1" t="s">
        <v>174</v>
      </c>
      <c r="L6" s="1">
        <v>110</v>
      </c>
      <c r="M6" s="1">
        <v>110</v>
      </c>
      <c r="N6" s="1" t="s">
        <v>193</v>
      </c>
      <c r="O6" s="1" t="s">
        <v>286</v>
      </c>
      <c r="P6" s="1" t="s">
        <v>175</v>
      </c>
      <c r="Q6" s="1" t="s">
        <v>287</v>
      </c>
      <c r="R6" s="1" t="s">
        <v>368</v>
      </c>
    </row>
    <row r="7" spans="1:19" x14ac:dyDescent="0.2">
      <c r="A7" s="1" t="s">
        <v>170</v>
      </c>
      <c r="B7" s="1" t="s">
        <v>172</v>
      </c>
      <c r="C7" s="1">
        <v>2003</v>
      </c>
      <c r="D7" s="1" t="s">
        <v>173</v>
      </c>
      <c r="E7" s="1" t="s">
        <v>326</v>
      </c>
      <c r="F7" s="1" t="s">
        <v>176</v>
      </c>
      <c r="G7" s="1" t="s">
        <v>176</v>
      </c>
      <c r="H7" s="1">
        <v>8070000</v>
      </c>
      <c r="I7" s="1">
        <v>2003</v>
      </c>
      <c r="J7" s="1">
        <v>2015</v>
      </c>
      <c r="K7" s="1" t="s">
        <v>174</v>
      </c>
      <c r="L7" s="1">
        <v>110</v>
      </c>
      <c r="M7" s="1">
        <v>110</v>
      </c>
      <c r="N7" s="1" t="s">
        <v>193</v>
      </c>
      <c r="O7" s="1" t="s">
        <v>286</v>
      </c>
      <c r="P7" s="1" t="s">
        <v>175</v>
      </c>
      <c r="Q7" s="1" t="s">
        <v>287</v>
      </c>
      <c r="R7" s="1" t="s">
        <v>368</v>
      </c>
    </row>
    <row r="8" spans="1:19" x14ac:dyDescent="0.2">
      <c r="A8" s="1" t="s">
        <v>170</v>
      </c>
      <c r="B8" s="1" t="s">
        <v>172</v>
      </c>
      <c r="C8" s="1">
        <v>2004</v>
      </c>
      <c r="D8" s="1" t="s">
        <v>173</v>
      </c>
      <c r="E8" s="1" t="s">
        <v>326</v>
      </c>
      <c r="F8" s="1" t="s">
        <v>176</v>
      </c>
      <c r="G8" s="1" t="s">
        <v>176</v>
      </c>
      <c r="H8" s="1">
        <v>5640000</v>
      </c>
      <c r="I8" s="1">
        <v>2004</v>
      </c>
      <c r="J8" s="1">
        <v>2020</v>
      </c>
      <c r="K8" s="1" t="s">
        <v>174</v>
      </c>
      <c r="L8" s="1">
        <v>110</v>
      </c>
      <c r="M8" s="1">
        <v>110</v>
      </c>
      <c r="N8" s="1" t="s">
        <v>193</v>
      </c>
      <c r="O8" s="1" t="s">
        <v>286</v>
      </c>
      <c r="P8" s="1" t="s">
        <v>175</v>
      </c>
      <c r="Q8" s="1" t="s">
        <v>287</v>
      </c>
      <c r="R8" s="1" t="s">
        <v>368</v>
      </c>
      <c r="S8" s="1" t="s">
        <v>497</v>
      </c>
    </row>
    <row r="9" spans="1:19" x14ac:dyDescent="0.2">
      <c r="A9" s="1" t="s">
        <v>170</v>
      </c>
      <c r="B9" s="1" t="s">
        <v>172</v>
      </c>
      <c r="C9" s="1">
        <v>2005</v>
      </c>
      <c r="D9" s="1" t="s">
        <v>281</v>
      </c>
      <c r="E9" s="1" t="s">
        <v>326</v>
      </c>
      <c r="F9" s="1" t="s">
        <v>176</v>
      </c>
      <c r="G9" s="1" t="s">
        <v>176</v>
      </c>
      <c r="H9" s="1">
        <v>5720000</v>
      </c>
      <c r="I9" s="1">
        <v>2005</v>
      </c>
      <c r="J9" s="1">
        <v>2025</v>
      </c>
      <c r="K9" s="1" t="s">
        <v>174</v>
      </c>
      <c r="L9" s="1">
        <v>110</v>
      </c>
      <c r="M9" s="1">
        <v>110</v>
      </c>
      <c r="N9" s="1" t="s">
        <v>193</v>
      </c>
      <c r="O9" s="1" t="s">
        <v>514</v>
      </c>
      <c r="P9" s="1" t="s">
        <v>175</v>
      </c>
      <c r="Q9" s="1" t="s">
        <v>287</v>
      </c>
      <c r="R9" s="1" t="s">
        <v>368</v>
      </c>
      <c r="S9" s="1" t="s">
        <v>497</v>
      </c>
    </row>
    <row r="10" spans="1:19" x14ac:dyDescent="0.2">
      <c r="A10" s="1" t="s">
        <v>170</v>
      </c>
      <c r="B10" s="1" t="s">
        <v>172</v>
      </c>
      <c r="C10" s="1">
        <v>2006</v>
      </c>
      <c r="D10" s="1" t="s">
        <v>281</v>
      </c>
      <c r="E10" s="1" t="s">
        <v>326</v>
      </c>
      <c r="F10" s="1" t="s">
        <v>176</v>
      </c>
      <c r="G10" s="1" t="s">
        <v>176</v>
      </c>
      <c r="H10" s="1">
        <v>21660000</v>
      </c>
      <c r="I10" s="1">
        <v>2006</v>
      </c>
      <c r="J10" s="1">
        <v>2021</v>
      </c>
      <c r="K10" s="1" t="s">
        <v>174</v>
      </c>
      <c r="L10" s="1">
        <v>110</v>
      </c>
      <c r="M10" s="1">
        <v>110</v>
      </c>
      <c r="N10" s="1" t="s">
        <v>193</v>
      </c>
      <c r="O10" s="1" t="s">
        <v>514</v>
      </c>
      <c r="P10" s="1" t="s">
        <v>175</v>
      </c>
      <c r="Q10" s="1" t="s">
        <v>287</v>
      </c>
      <c r="R10" s="1" t="s">
        <v>539</v>
      </c>
    </row>
    <row r="11" spans="1:19" x14ac:dyDescent="0.2">
      <c r="A11" s="1" t="s">
        <v>170</v>
      </c>
      <c r="B11" s="1" t="s">
        <v>172</v>
      </c>
      <c r="C11" s="1">
        <v>2007</v>
      </c>
      <c r="D11" s="1" t="s">
        <v>173</v>
      </c>
      <c r="E11" s="1" t="s">
        <v>176</v>
      </c>
      <c r="F11" s="1" t="s">
        <v>176</v>
      </c>
      <c r="G11" s="1" t="s">
        <v>176</v>
      </c>
      <c r="H11" s="1">
        <v>5640000</v>
      </c>
      <c r="I11" s="1">
        <v>2007</v>
      </c>
      <c r="J11" s="1">
        <v>2027</v>
      </c>
      <c r="K11" s="1" t="s">
        <v>174</v>
      </c>
      <c r="R11" s="1" t="s">
        <v>287</v>
      </c>
      <c r="S11" s="1" t="s">
        <v>598</v>
      </c>
    </row>
    <row r="12" spans="1:19" x14ac:dyDescent="0.2">
      <c r="A12" s="1" t="s">
        <v>170</v>
      </c>
      <c r="B12" s="1" t="s">
        <v>172</v>
      </c>
      <c r="C12" s="1">
        <v>2009</v>
      </c>
      <c r="D12" s="1" t="s">
        <v>173</v>
      </c>
      <c r="E12" s="1" t="s">
        <v>581</v>
      </c>
      <c r="F12" s="1" t="s">
        <v>327</v>
      </c>
      <c r="G12" s="1" t="s">
        <v>176</v>
      </c>
      <c r="H12" s="1">
        <v>6270000</v>
      </c>
      <c r="I12" s="1">
        <v>2009</v>
      </c>
      <c r="J12" s="1">
        <v>2015</v>
      </c>
      <c r="K12" s="1" t="s">
        <v>174</v>
      </c>
      <c r="L12" s="1">
        <v>110</v>
      </c>
      <c r="M12" s="1">
        <v>110</v>
      </c>
      <c r="N12" s="1" t="s">
        <v>193</v>
      </c>
      <c r="O12" s="1" t="s">
        <v>286</v>
      </c>
      <c r="P12" s="1" t="s">
        <v>175</v>
      </c>
      <c r="Q12" s="1" t="s">
        <v>287</v>
      </c>
      <c r="R12" s="1" t="s">
        <v>570</v>
      </c>
      <c r="S12" s="1" t="s">
        <v>582</v>
      </c>
    </row>
    <row r="13" spans="1:19" x14ac:dyDescent="0.2">
      <c r="A13" s="1" t="s">
        <v>170</v>
      </c>
      <c r="B13" s="1" t="s">
        <v>172</v>
      </c>
      <c r="C13" s="1">
        <v>2009</v>
      </c>
      <c r="D13" s="1" t="s">
        <v>173</v>
      </c>
      <c r="E13" s="1" t="s">
        <v>581</v>
      </c>
      <c r="F13" s="1" t="s">
        <v>327</v>
      </c>
      <c r="G13" s="1" t="s">
        <v>176</v>
      </c>
      <c r="H13" s="1">
        <v>10010000</v>
      </c>
      <c r="I13" s="1">
        <v>2009</v>
      </c>
      <c r="J13" s="1">
        <v>2023</v>
      </c>
      <c r="K13" s="1" t="s">
        <v>569</v>
      </c>
      <c r="L13" s="1">
        <v>110</v>
      </c>
      <c r="M13" s="1">
        <v>110</v>
      </c>
      <c r="N13" s="1" t="s">
        <v>193</v>
      </c>
      <c r="O13" s="1" t="s">
        <v>286</v>
      </c>
      <c r="P13" s="1" t="s">
        <v>175</v>
      </c>
      <c r="Q13" s="1" t="s">
        <v>287</v>
      </c>
      <c r="R13" s="1" t="s">
        <v>570</v>
      </c>
      <c r="S13" s="1" t="s">
        <v>582</v>
      </c>
    </row>
    <row r="14" spans="1:19" x14ac:dyDescent="0.2">
      <c r="A14" s="1" t="s">
        <v>170</v>
      </c>
      <c r="B14" s="1" t="s">
        <v>172</v>
      </c>
      <c r="C14" s="1">
        <v>2012</v>
      </c>
      <c r="D14" s="1" t="s">
        <v>281</v>
      </c>
      <c r="E14" s="1" t="s">
        <v>176</v>
      </c>
      <c r="F14" s="1" t="s">
        <v>645</v>
      </c>
      <c r="G14" s="1" t="s">
        <v>176</v>
      </c>
      <c r="H14" s="1">
        <v>4570000</v>
      </c>
      <c r="I14" s="1">
        <v>2012</v>
      </c>
      <c r="J14" s="1">
        <v>2025</v>
      </c>
      <c r="K14" s="1" t="s">
        <v>602</v>
      </c>
      <c r="L14" s="1">
        <v>110</v>
      </c>
      <c r="M14" s="1">
        <v>110</v>
      </c>
      <c r="N14" s="1" t="s">
        <v>193</v>
      </c>
      <c r="O14" s="1" t="s">
        <v>514</v>
      </c>
      <c r="P14" s="1" t="s">
        <v>175</v>
      </c>
      <c r="Q14" s="1" t="s">
        <v>287</v>
      </c>
      <c r="R14" s="1" t="s">
        <v>287</v>
      </c>
      <c r="S14" s="1" t="s">
        <v>325</v>
      </c>
    </row>
    <row r="15" spans="1:19" x14ac:dyDescent="0.2">
      <c r="A15" s="1" t="s">
        <v>170</v>
      </c>
      <c r="B15" s="1" t="s">
        <v>172</v>
      </c>
      <c r="C15" s="1">
        <v>2012</v>
      </c>
      <c r="D15" s="1" t="s">
        <v>173</v>
      </c>
      <c r="E15" s="1" t="s">
        <v>176</v>
      </c>
      <c r="F15" s="1" t="s">
        <v>677</v>
      </c>
      <c r="G15" s="1" t="s">
        <v>176</v>
      </c>
      <c r="H15" s="1">
        <v>5395000</v>
      </c>
      <c r="I15" s="1">
        <v>2012</v>
      </c>
      <c r="J15" s="1">
        <v>2023</v>
      </c>
      <c r="K15" s="1" t="s">
        <v>603</v>
      </c>
      <c r="L15" s="1">
        <v>110</v>
      </c>
      <c r="M15" s="1">
        <v>110</v>
      </c>
      <c r="N15" s="1" t="s">
        <v>193</v>
      </c>
      <c r="O15" s="1" t="s">
        <v>286</v>
      </c>
      <c r="P15" s="1" t="s">
        <v>175</v>
      </c>
      <c r="Q15" s="1" t="s">
        <v>287</v>
      </c>
      <c r="R15" s="1" t="s">
        <v>287</v>
      </c>
      <c r="S15" s="1" t="s">
        <v>598</v>
      </c>
    </row>
    <row r="16" spans="1:19" x14ac:dyDescent="0.2">
      <c r="A16" s="1" t="s">
        <v>170</v>
      </c>
      <c r="B16" s="1" t="s">
        <v>172</v>
      </c>
      <c r="C16" s="1">
        <v>2016</v>
      </c>
      <c r="D16" s="1" t="s">
        <v>281</v>
      </c>
      <c r="E16" s="1" t="s">
        <v>176</v>
      </c>
      <c r="F16" s="1" t="s">
        <v>569</v>
      </c>
      <c r="G16" s="1" t="s">
        <v>176</v>
      </c>
      <c r="H16" s="1">
        <v>11165000</v>
      </c>
      <c r="I16" s="1">
        <v>2016</v>
      </c>
      <c r="J16" s="1">
        <v>2021</v>
      </c>
      <c r="K16" s="1" t="s">
        <v>602</v>
      </c>
      <c r="L16" s="1">
        <v>110</v>
      </c>
      <c r="M16" s="1">
        <v>110</v>
      </c>
      <c r="N16" s="1" t="s">
        <v>193</v>
      </c>
      <c r="O16" s="1" t="s">
        <v>514</v>
      </c>
      <c r="P16" s="1" t="s">
        <v>175</v>
      </c>
      <c r="Q16" s="1" t="s">
        <v>287</v>
      </c>
      <c r="R16" s="1" t="s">
        <v>287</v>
      </c>
      <c r="S16" s="1" t="s">
        <v>598</v>
      </c>
    </row>
    <row r="17" spans="1:19" x14ac:dyDescent="0.2">
      <c r="A17" s="1" t="s">
        <v>170</v>
      </c>
      <c r="B17" s="1" t="s">
        <v>172</v>
      </c>
      <c r="C17" s="1">
        <v>2016</v>
      </c>
      <c r="D17" s="1" t="s">
        <v>173</v>
      </c>
      <c r="E17" s="1" t="s">
        <v>176</v>
      </c>
      <c r="F17" s="1" t="s">
        <v>569</v>
      </c>
      <c r="G17" s="1" t="s">
        <v>176</v>
      </c>
      <c r="H17" s="1">
        <v>4855000</v>
      </c>
      <c r="I17" s="1">
        <v>2016</v>
      </c>
      <c r="J17" s="1">
        <v>2019</v>
      </c>
      <c r="K17" s="1" t="s">
        <v>603</v>
      </c>
      <c r="L17" s="1">
        <v>110</v>
      </c>
      <c r="M17" s="1">
        <v>110</v>
      </c>
      <c r="N17" s="1" t="s">
        <v>193</v>
      </c>
      <c r="O17" s="1" t="s">
        <v>286</v>
      </c>
      <c r="P17" s="1" t="s">
        <v>175</v>
      </c>
      <c r="Q17" s="1" t="s">
        <v>287</v>
      </c>
      <c r="R17" s="1" t="s">
        <v>287</v>
      </c>
      <c r="S17" s="1" t="s">
        <v>598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selection sqref="A1:I1"/>
    </sheetView>
  </sheetViews>
  <sheetFormatPr baseColWidth="10" defaultColWidth="8.83203125" defaultRowHeight="15" x14ac:dyDescent="0.2"/>
  <cols>
    <col min="1" max="16384" width="8.83203125" style="1"/>
  </cols>
  <sheetData>
    <row r="1" spans="1:9" x14ac:dyDescent="0.2">
      <c r="A1" s="2" t="s">
        <v>0</v>
      </c>
      <c r="B1" s="2" t="s">
        <v>27</v>
      </c>
      <c r="C1" s="2" t="s">
        <v>2</v>
      </c>
      <c r="D1" s="2" t="s">
        <v>24</v>
      </c>
      <c r="E1" s="8" t="s">
        <v>99</v>
      </c>
      <c r="F1" s="5" t="s">
        <v>32</v>
      </c>
      <c r="G1" s="9" t="s">
        <v>145</v>
      </c>
      <c r="H1" s="2" t="s">
        <v>146</v>
      </c>
      <c r="I1" s="4" t="s">
        <v>85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7806A-EA9C-4892-959E-5574A0FCF30C}">
  <dimension ref="A1:AL39"/>
  <sheetViews>
    <sheetView workbookViewId="0">
      <selection activeCell="E5" sqref="E5"/>
    </sheetView>
  </sheetViews>
  <sheetFormatPr baseColWidth="10" defaultColWidth="8.83203125" defaultRowHeight="15" x14ac:dyDescent="0.2"/>
  <cols>
    <col min="1" max="1" width="6.83203125" customWidth="1"/>
    <col min="2" max="2" width="61.1640625" customWidth="1"/>
    <col min="3" max="3" width="16.33203125" customWidth="1"/>
    <col min="4" max="4" width="2.5" customWidth="1"/>
    <col min="5" max="9" width="11.5" bestFit="1" customWidth="1"/>
    <col min="10" max="13" width="12.5" bestFit="1" customWidth="1"/>
    <col min="14" max="16" width="11.5" bestFit="1" customWidth="1"/>
    <col min="17" max="17" width="12.5" bestFit="1" customWidth="1"/>
    <col min="18" max="27" width="10.5" bestFit="1" customWidth="1"/>
    <col min="28" max="31" width="10" bestFit="1" customWidth="1"/>
  </cols>
  <sheetData>
    <row r="1" spans="1:38" x14ac:dyDescent="0.2">
      <c r="B1" s="35" t="s">
        <v>722</v>
      </c>
      <c r="C1" s="35" t="s">
        <v>291</v>
      </c>
      <c r="D1" s="35"/>
      <c r="E1" s="35">
        <v>1985</v>
      </c>
      <c r="F1" s="35">
        <v>1986</v>
      </c>
      <c r="G1" s="35">
        <v>1987</v>
      </c>
      <c r="H1" s="35">
        <v>1988</v>
      </c>
      <c r="I1" s="35">
        <v>1989</v>
      </c>
      <c r="J1" s="35">
        <v>1990</v>
      </c>
      <c r="K1" s="35">
        <v>1991</v>
      </c>
      <c r="L1" s="35">
        <v>1992</v>
      </c>
      <c r="M1" s="35">
        <v>1993</v>
      </c>
      <c r="N1" s="35">
        <v>1994</v>
      </c>
      <c r="O1" s="35">
        <v>1995</v>
      </c>
      <c r="P1" s="35">
        <v>1996</v>
      </c>
      <c r="Q1" s="35">
        <v>1997</v>
      </c>
      <c r="R1" s="35">
        <v>1998</v>
      </c>
      <c r="S1" s="35">
        <v>1999</v>
      </c>
      <c r="T1" s="35">
        <v>2000</v>
      </c>
      <c r="U1" s="35">
        <v>2001</v>
      </c>
      <c r="V1" s="35">
        <v>2002</v>
      </c>
      <c r="W1" s="35">
        <v>2003</v>
      </c>
      <c r="X1" s="35">
        <v>2004</v>
      </c>
      <c r="Y1" s="35">
        <v>2005</v>
      </c>
      <c r="Z1" s="35">
        <v>2006</v>
      </c>
      <c r="AA1" s="35">
        <v>2007</v>
      </c>
      <c r="AB1" s="35">
        <v>2008</v>
      </c>
      <c r="AC1" s="35">
        <v>2009</v>
      </c>
      <c r="AD1" s="35">
        <v>2010</v>
      </c>
      <c r="AE1" s="35">
        <v>2011</v>
      </c>
      <c r="AF1" s="35">
        <v>2012</v>
      </c>
      <c r="AG1" s="35">
        <v>2013</v>
      </c>
      <c r="AH1" s="35">
        <v>2014</v>
      </c>
      <c r="AI1" s="35">
        <v>2015</v>
      </c>
      <c r="AJ1" s="35">
        <v>2016</v>
      </c>
      <c r="AK1" s="35">
        <v>2017</v>
      </c>
      <c r="AL1" s="35">
        <v>2018</v>
      </c>
    </row>
    <row r="2" spans="1:38" ht="16" x14ac:dyDescent="0.2">
      <c r="A2" t="s">
        <v>723</v>
      </c>
      <c r="B2" s="36" t="s">
        <v>59</v>
      </c>
      <c r="C2" s="37" t="s">
        <v>724</v>
      </c>
      <c r="D2" s="37" t="s">
        <v>725</v>
      </c>
    </row>
    <row r="3" spans="1:38" ht="16" x14ac:dyDescent="0.2">
      <c r="A3" t="s">
        <v>726</v>
      </c>
      <c r="B3" s="36" t="s">
        <v>61</v>
      </c>
      <c r="C3" s="37" t="s">
        <v>727</v>
      </c>
      <c r="D3" s="37" t="s">
        <v>725</v>
      </c>
    </row>
    <row r="4" spans="1:38" ht="16" x14ac:dyDescent="0.2">
      <c r="A4" t="s">
        <v>728</v>
      </c>
      <c r="B4" s="36" t="s">
        <v>729</v>
      </c>
      <c r="C4" s="37" t="s">
        <v>730</v>
      </c>
      <c r="D4" s="37" t="s">
        <v>725</v>
      </c>
      <c r="E4" t="s">
        <v>783</v>
      </c>
    </row>
    <row r="5" spans="1:38" ht="16" x14ac:dyDescent="0.2">
      <c r="A5" t="s">
        <v>731</v>
      </c>
      <c r="B5" s="36" t="s">
        <v>732</v>
      </c>
      <c r="C5" s="37" t="s">
        <v>733</v>
      </c>
      <c r="D5" s="37" t="s">
        <v>725</v>
      </c>
    </row>
    <row r="6" spans="1:38" ht="16" x14ac:dyDescent="0.2">
      <c r="A6" t="s">
        <v>734</v>
      </c>
      <c r="B6" s="36" t="s">
        <v>735</v>
      </c>
      <c r="C6" s="37" t="s">
        <v>733</v>
      </c>
      <c r="D6" s="37" t="s">
        <v>725</v>
      </c>
      <c r="S6" s="38"/>
      <c r="T6" s="38"/>
      <c r="U6" s="38"/>
      <c r="V6" s="38"/>
      <c r="W6" s="38"/>
      <c r="X6" s="38"/>
      <c r="Y6" s="38"/>
      <c r="Z6" s="38"/>
      <c r="AA6" s="38"/>
      <c r="AB6" s="38"/>
      <c r="AC6" s="38"/>
      <c r="AD6" s="38"/>
      <c r="AE6" s="38"/>
      <c r="AF6" s="38"/>
      <c r="AG6" s="38"/>
      <c r="AH6" s="38"/>
      <c r="AI6" s="38"/>
      <c r="AJ6" s="38"/>
      <c r="AK6" s="38"/>
      <c r="AL6" s="38"/>
    </row>
    <row r="7" spans="1:38" ht="16" x14ac:dyDescent="0.2">
      <c r="A7" t="s">
        <v>736</v>
      </c>
      <c r="B7" s="36" t="s">
        <v>737</v>
      </c>
      <c r="C7" s="37" t="s">
        <v>738</v>
      </c>
      <c r="D7" s="37" t="s">
        <v>725</v>
      </c>
    </row>
    <row r="8" spans="1:38" ht="16" x14ac:dyDescent="0.2">
      <c r="A8" t="s">
        <v>739</v>
      </c>
      <c r="B8" s="36" t="s">
        <v>740</v>
      </c>
      <c r="C8" s="37" t="s">
        <v>741</v>
      </c>
      <c r="D8" s="37" t="s">
        <v>725</v>
      </c>
    </row>
    <row r="9" spans="1:38" ht="16" x14ac:dyDescent="0.2">
      <c r="A9" t="s">
        <v>742</v>
      </c>
      <c r="B9" s="36" t="s">
        <v>743</v>
      </c>
      <c r="C9" s="37" t="s">
        <v>744</v>
      </c>
      <c r="D9" s="37" t="s">
        <v>725</v>
      </c>
    </row>
    <row r="10" spans="1:38" ht="16" x14ac:dyDescent="0.2">
      <c r="A10" t="s">
        <v>745</v>
      </c>
      <c r="B10" s="36" t="s">
        <v>746</v>
      </c>
      <c r="C10" s="37" t="s">
        <v>747</v>
      </c>
      <c r="D10" s="37" t="s">
        <v>725</v>
      </c>
    </row>
    <row r="11" spans="1:38" ht="16" x14ac:dyDescent="0.2">
      <c r="A11" t="s">
        <v>748</v>
      </c>
      <c r="B11" s="36" t="s">
        <v>749</v>
      </c>
      <c r="C11" s="37" t="s">
        <v>750</v>
      </c>
      <c r="D11" s="37" t="s">
        <v>725</v>
      </c>
    </row>
    <row r="12" spans="1:38" ht="16" x14ac:dyDescent="0.2">
      <c r="A12" t="s">
        <v>751</v>
      </c>
      <c r="B12" s="36" t="s">
        <v>152</v>
      </c>
    </row>
    <row r="13" spans="1:38" ht="16" x14ac:dyDescent="0.2">
      <c r="A13" t="s">
        <v>752</v>
      </c>
      <c r="B13" s="36" t="s">
        <v>155</v>
      </c>
    </row>
    <row r="14" spans="1:38" ht="16" x14ac:dyDescent="0.2">
      <c r="A14" t="s">
        <v>753</v>
      </c>
      <c r="B14" s="36" t="s">
        <v>754</v>
      </c>
      <c r="C14" s="37" t="s">
        <v>755</v>
      </c>
      <c r="D14" s="37" t="s">
        <v>725</v>
      </c>
    </row>
    <row r="15" spans="1:38" ht="16" x14ac:dyDescent="0.2">
      <c r="A15" t="s">
        <v>756</v>
      </c>
      <c r="B15" s="36" t="s">
        <v>757</v>
      </c>
    </row>
    <row r="17" spans="1:38" ht="16" x14ac:dyDescent="0.2">
      <c r="B17" s="39" t="s">
        <v>758</v>
      </c>
      <c r="C17" s="35" t="s">
        <v>759</v>
      </c>
      <c r="D17" s="40"/>
    </row>
    <row r="18" spans="1:38" ht="32" x14ac:dyDescent="0.2">
      <c r="B18" t="s">
        <v>760</v>
      </c>
      <c r="C18" s="41" t="s">
        <v>761</v>
      </c>
      <c r="D18" s="41"/>
      <c r="E18" s="42" t="e">
        <f t="shared" ref="E18:K18" si="0">E2/E3</f>
        <v>#DIV/0!</v>
      </c>
      <c r="F18" s="42" t="e">
        <f t="shared" si="0"/>
        <v>#DIV/0!</v>
      </c>
      <c r="G18" s="42" t="e">
        <f t="shared" si="0"/>
        <v>#DIV/0!</v>
      </c>
      <c r="H18" s="42" t="e">
        <f t="shared" si="0"/>
        <v>#DIV/0!</v>
      </c>
      <c r="I18" s="42" t="e">
        <f t="shared" si="0"/>
        <v>#DIV/0!</v>
      </c>
      <c r="J18" s="42" t="e">
        <f t="shared" si="0"/>
        <v>#DIV/0!</v>
      </c>
      <c r="K18" s="42" t="e">
        <f t="shared" si="0"/>
        <v>#DIV/0!</v>
      </c>
      <c r="L18" s="42" t="e">
        <f t="shared" ref="L18:AL18" si="1">L2/L3</f>
        <v>#DIV/0!</v>
      </c>
      <c r="M18" s="42" t="e">
        <f t="shared" si="1"/>
        <v>#DIV/0!</v>
      </c>
      <c r="N18" s="42" t="e">
        <f t="shared" si="1"/>
        <v>#DIV/0!</v>
      </c>
      <c r="O18" s="42" t="e">
        <f t="shared" si="1"/>
        <v>#DIV/0!</v>
      </c>
      <c r="P18" s="42" t="e">
        <f t="shared" si="1"/>
        <v>#DIV/0!</v>
      </c>
      <c r="Q18" s="42" t="e">
        <f t="shared" si="1"/>
        <v>#DIV/0!</v>
      </c>
      <c r="R18" s="42" t="e">
        <f t="shared" si="1"/>
        <v>#DIV/0!</v>
      </c>
      <c r="S18" s="42" t="e">
        <f t="shared" si="1"/>
        <v>#DIV/0!</v>
      </c>
      <c r="T18" s="42" t="e">
        <f t="shared" si="1"/>
        <v>#DIV/0!</v>
      </c>
      <c r="U18" s="42" t="e">
        <f t="shared" si="1"/>
        <v>#DIV/0!</v>
      </c>
      <c r="V18" s="42" t="e">
        <f t="shared" si="1"/>
        <v>#DIV/0!</v>
      </c>
      <c r="W18" s="42" t="e">
        <f t="shared" si="1"/>
        <v>#DIV/0!</v>
      </c>
      <c r="X18" s="42" t="e">
        <f t="shared" si="1"/>
        <v>#DIV/0!</v>
      </c>
      <c r="Y18" s="42" t="e">
        <f t="shared" si="1"/>
        <v>#DIV/0!</v>
      </c>
      <c r="Z18" s="42" t="e">
        <f t="shared" si="1"/>
        <v>#DIV/0!</v>
      </c>
      <c r="AA18" s="42" t="e">
        <f t="shared" si="1"/>
        <v>#DIV/0!</v>
      </c>
      <c r="AB18" s="42" t="e">
        <f t="shared" si="1"/>
        <v>#DIV/0!</v>
      </c>
      <c r="AC18" s="42" t="e">
        <f t="shared" si="1"/>
        <v>#DIV/0!</v>
      </c>
      <c r="AD18" s="42" t="e">
        <f t="shared" si="1"/>
        <v>#DIV/0!</v>
      </c>
      <c r="AE18" s="42" t="e">
        <f t="shared" si="1"/>
        <v>#DIV/0!</v>
      </c>
      <c r="AF18" s="42" t="e">
        <f t="shared" si="1"/>
        <v>#DIV/0!</v>
      </c>
      <c r="AG18" s="42" t="e">
        <f t="shared" si="1"/>
        <v>#DIV/0!</v>
      </c>
      <c r="AH18" s="42" t="e">
        <f t="shared" si="1"/>
        <v>#DIV/0!</v>
      </c>
      <c r="AI18" s="42" t="e">
        <f t="shared" si="1"/>
        <v>#DIV/0!</v>
      </c>
      <c r="AJ18" s="42" t="e">
        <f t="shared" si="1"/>
        <v>#DIV/0!</v>
      </c>
      <c r="AK18" s="42" t="e">
        <f t="shared" si="1"/>
        <v>#DIV/0!</v>
      </c>
      <c r="AL18" s="42" t="e">
        <f t="shared" si="1"/>
        <v>#DIV/0!</v>
      </c>
    </row>
    <row r="19" spans="1:38" ht="32" x14ac:dyDescent="0.2">
      <c r="B19" t="s">
        <v>762</v>
      </c>
      <c r="C19" s="41" t="s">
        <v>763</v>
      </c>
      <c r="D19" s="41"/>
      <c r="E19" s="42" t="e">
        <f t="shared" ref="E19:K19" si="2">E2/(E3-E4)</f>
        <v>#VALUE!</v>
      </c>
      <c r="F19" s="42" t="e">
        <f t="shared" si="2"/>
        <v>#DIV/0!</v>
      </c>
      <c r="G19" s="42" t="e">
        <f t="shared" si="2"/>
        <v>#DIV/0!</v>
      </c>
      <c r="H19" s="42" t="e">
        <f t="shared" si="2"/>
        <v>#DIV/0!</v>
      </c>
      <c r="I19" s="42" t="e">
        <f t="shared" si="2"/>
        <v>#DIV/0!</v>
      </c>
      <c r="J19" s="42" t="e">
        <f t="shared" si="2"/>
        <v>#DIV/0!</v>
      </c>
      <c r="K19" s="42" t="e">
        <f t="shared" si="2"/>
        <v>#DIV/0!</v>
      </c>
      <c r="L19" s="42" t="e">
        <f t="shared" ref="L19:AL19" si="3">L2/(L3-L4)</f>
        <v>#DIV/0!</v>
      </c>
      <c r="M19" s="42" t="e">
        <f t="shared" si="3"/>
        <v>#DIV/0!</v>
      </c>
      <c r="N19" s="42" t="e">
        <f t="shared" si="3"/>
        <v>#DIV/0!</v>
      </c>
      <c r="O19" s="42" t="e">
        <f t="shared" si="3"/>
        <v>#DIV/0!</v>
      </c>
      <c r="P19" s="42" t="e">
        <f t="shared" si="3"/>
        <v>#DIV/0!</v>
      </c>
      <c r="Q19" s="42" t="e">
        <f t="shared" si="3"/>
        <v>#DIV/0!</v>
      </c>
      <c r="R19" s="42" t="e">
        <f t="shared" si="3"/>
        <v>#DIV/0!</v>
      </c>
      <c r="S19" s="42" t="e">
        <f t="shared" si="3"/>
        <v>#DIV/0!</v>
      </c>
      <c r="T19" s="42" t="e">
        <f t="shared" si="3"/>
        <v>#DIV/0!</v>
      </c>
      <c r="U19" s="42" t="e">
        <f t="shared" si="3"/>
        <v>#DIV/0!</v>
      </c>
      <c r="V19" s="42" t="e">
        <f t="shared" si="3"/>
        <v>#DIV/0!</v>
      </c>
      <c r="W19" s="42" t="e">
        <f t="shared" si="3"/>
        <v>#DIV/0!</v>
      </c>
      <c r="X19" s="42" t="e">
        <f t="shared" si="3"/>
        <v>#DIV/0!</v>
      </c>
      <c r="Y19" s="42" t="e">
        <f t="shared" si="3"/>
        <v>#DIV/0!</v>
      </c>
      <c r="Z19" s="42" t="e">
        <f t="shared" si="3"/>
        <v>#DIV/0!</v>
      </c>
      <c r="AA19" s="42" t="e">
        <f t="shared" si="3"/>
        <v>#DIV/0!</v>
      </c>
      <c r="AB19" s="42" t="e">
        <f t="shared" si="3"/>
        <v>#DIV/0!</v>
      </c>
      <c r="AC19" s="42" t="e">
        <f t="shared" si="3"/>
        <v>#DIV/0!</v>
      </c>
      <c r="AD19" s="42" t="e">
        <f t="shared" si="3"/>
        <v>#DIV/0!</v>
      </c>
      <c r="AE19" s="42" t="e">
        <f t="shared" si="3"/>
        <v>#DIV/0!</v>
      </c>
      <c r="AF19" s="42" t="e">
        <f t="shared" si="3"/>
        <v>#DIV/0!</v>
      </c>
      <c r="AG19" s="42" t="e">
        <f t="shared" si="3"/>
        <v>#DIV/0!</v>
      </c>
      <c r="AH19" s="42" t="e">
        <f t="shared" si="3"/>
        <v>#DIV/0!</v>
      </c>
      <c r="AI19" s="42" t="e">
        <f t="shared" si="3"/>
        <v>#DIV/0!</v>
      </c>
      <c r="AJ19" s="42" t="e">
        <f t="shared" si="3"/>
        <v>#DIV/0!</v>
      </c>
      <c r="AK19" s="42" t="e">
        <f t="shared" si="3"/>
        <v>#DIV/0!</v>
      </c>
      <c r="AL19" s="42" t="e">
        <f t="shared" si="3"/>
        <v>#DIV/0!</v>
      </c>
    </row>
    <row r="20" spans="1:38" ht="32" x14ac:dyDescent="0.2">
      <c r="B20" t="s">
        <v>764</v>
      </c>
      <c r="C20" s="43" t="s">
        <v>765</v>
      </c>
      <c r="D20" s="43"/>
      <c r="E20" s="42" t="e">
        <f t="shared" ref="E20:K20" si="4">(E2-(E3-E4))/(E5+E6)</f>
        <v>#VALUE!</v>
      </c>
      <c r="F20" s="42" t="e">
        <f t="shared" si="4"/>
        <v>#DIV/0!</v>
      </c>
      <c r="G20" s="42" t="e">
        <f t="shared" si="4"/>
        <v>#DIV/0!</v>
      </c>
      <c r="H20" s="42" t="e">
        <f t="shared" si="4"/>
        <v>#DIV/0!</v>
      </c>
      <c r="I20" s="42" t="e">
        <f t="shared" si="4"/>
        <v>#DIV/0!</v>
      </c>
      <c r="J20" s="42" t="e">
        <f t="shared" si="4"/>
        <v>#DIV/0!</v>
      </c>
      <c r="K20" s="42" t="e">
        <f t="shared" si="4"/>
        <v>#DIV/0!</v>
      </c>
      <c r="L20" s="42" t="e">
        <f t="shared" ref="L20:N20" si="5">(L2-(L3-L4))/(L5+L6)</f>
        <v>#DIV/0!</v>
      </c>
      <c r="M20" s="42" t="e">
        <f t="shared" si="5"/>
        <v>#DIV/0!</v>
      </c>
      <c r="N20" s="42" t="e">
        <f t="shared" si="5"/>
        <v>#DIV/0!</v>
      </c>
      <c r="O20" s="42" t="e">
        <f t="shared" ref="O20:AL20" si="6">(O2-(O3-O4))/(O5+O6)</f>
        <v>#DIV/0!</v>
      </c>
      <c r="P20" s="42" t="e">
        <f t="shared" si="6"/>
        <v>#DIV/0!</v>
      </c>
      <c r="Q20" s="42" t="e">
        <f t="shared" si="6"/>
        <v>#DIV/0!</v>
      </c>
      <c r="R20" s="42" t="e">
        <f t="shared" si="6"/>
        <v>#DIV/0!</v>
      </c>
      <c r="S20" s="42" t="e">
        <f t="shared" si="6"/>
        <v>#DIV/0!</v>
      </c>
      <c r="T20" s="42" t="e">
        <f t="shared" si="6"/>
        <v>#DIV/0!</v>
      </c>
      <c r="U20" s="42" t="e">
        <f t="shared" si="6"/>
        <v>#DIV/0!</v>
      </c>
      <c r="V20" s="42" t="e">
        <f t="shared" si="6"/>
        <v>#DIV/0!</v>
      </c>
      <c r="W20" s="42" t="e">
        <f t="shared" si="6"/>
        <v>#DIV/0!</v>
      </c>
      <c r="X20" s="42" t="e">
        <f t="shared" si="6"/>
        <v>#DIV/0!</v>
      </c>
      <c r="Y20" s="42" t="e">
        <f t="shared" si="6"/>
        <v>#DIV/0!</v>
      </c>
      <c r="Z20" s="42" t="e">
        <f t="shared" si="6"/>
        <v>#DIV/0!</v>
      </c>
      <c r="AA20" s="42" t="e">
        <f t="shared" si="6"/>
        <v>#DIV/0!</v>
      </c>
      <c r="AB20" s="42" t="e">
        <f t="shared" si="6"/>
        <v>#DIV/0!</v>
      </c>
      <c r="AC20" s="42" t="e">
        <f t="shared" si="6"/>
        <v>#DIV/0!</v>
      </c>
      <c r="AD20" s="42" t="e">
        <f t="shared" si="6"/>
        <v>#DIV/0!</v>
      </c>
      <c r="AE20" s="42" t="e">
        <f t="shared" si="6"/>
        <v>#DIV/0!</v>
      </c>
      <c r="AF20" s="42" t="e">
        <f t="shared" si="6"/>
        <v>#DIV/0!</v>
      </c>
      <c r="AG20" s="42" t="e">
        <f t="shared" si="6"/>
        <v>#DIV/0!</v>
      </c>
      <c r="AH20" s="42" t="e">
        <f t="shared" si="6"/>
        <v>#DIV/0!</v>
      </c>
      <c r="AI20" s="42" t="e">
        <f t="shared" si="6"/>
        <v>#DIV/0!</v>
      </c>
      <c r="AJ20" s="42" t="e">
        <f t="shared" si="6"/>
        <v>#DIV/0!</v>
      </c>
      <c r="AK20" s="42" t="e">
        <f t="shared" si="6"/>
        <v>#DIV/0!</v>
      </c>
      <c r="AL20" s="42" t="e">
        <f t="shared" si="6"/>
        <v>#DIV/0!</v>
      </c>
    </row>
    <row r="21" spans="1:38" ht="32" x14ac:dyDescent="0.2">
      <c r="B21" t="s">
        <v>766</v>
      </c>
      <c r="C21" s="43" t="s">
        <v>767</v>
      </c>
      <c r="D21" s="43"/>
      <c r="E21" s="42" t="e">
        <f t="shared" ref="E21:K21" si="7">E7/E8</f>
        <v>#DIV/0!</v>
      </c>
      <c r="F21" s="42" t="e">
        <f t="shared" si="7"/>
        <v>#DIV/0!</v>
      </c>
      <c r="G21" s="42" t="e">
        <f t="shared" si="7"/>
        <v>#DIV/0!</v>
      </c>
      <c r="H21" s="42" t="e">
        <f t="shared" si="7"/>
        <v>#DIV/0!</v>
      </c>
      <c r="I21" s="42" t="e">
        <f t="shared" si="7"/>
        <v>#DIV/0!</v>
      </c>
      <c r="J21" s="42" t="e">
        <f t="shared" si="7"/>
        <v>#DIV/0!</v>
      </c>
      <c r="K21" s="42" t="e">
        <f t="shared" si="7"/>
        <v>#DIV/0!</v>
      </c>
      <c r="L21" s="42" t="e">
        <f t="shared" ref="L21:O21" si="8">L7/L8</f>
        <v>#DIV/0!</v>
      </c>
      <c r="M21" s="42" t="e">
        <f t="shared" si="8"/>
        <v>#DIV/0!</v>
      </c>
      <c r="N21" s="42" t="e">
        <f t="shared" si="8"/>
        <v>#DIV/0!</v>
      </c>
      <c r="O21" s="42" t="e">
        <f t="shared" si="8"/>
        <v>#DIV/0!</v>
      </c>
      <c r="P21" s="42" t="e">
        <f t="shared" ref="P21:AL21" si="9">P7/P8</f>
        <v>#DIV/0!</v>
      </c>
      <c r="Q21" s="42" t="e">
        <f t="shared" si="9"/>
        <v>#DIV/0!</v>
      </c>
      <c r="R21" s="42" t="e">
        <f t="shared" si="9"/>
        <v>#DIV/0!</v>
      </c>
      <c r="S21" s="42" t="e">
        <f t="shared" si="9"/>
        <v>#DIV/0!</v>
      </c>
      <c r="T21" s="42" t="e">
        <f t="shared" si="9"/>
        <v>#DIV/0!</v>
      </c>
      <c r="U21" s="42" t="e">
        <f t="shared" si="9"/>
        <v>#DIV/0!</v>
      </c>
      <c r="V21" s="42" t="e">
        <f t="shared" si="9"/>
        <v>#DIV/0!</v>
      </c>
      <c r="W21" s="42" t="e">
        <f t="shared" si="9"/>
        <v>#DIV/0!</v>
      </c>
      <c r="X21" s="42" t="e">
        <f t="shared" si="9"/>
        <v>#DIV/0!</v>
      </c>
      <c r="Y21" s="42" t="e">
        <f t="shared" si="9"/>
        <v>#DIV/0!</v>
      </c>
      <c r="Z21" s="42" t="e">
        <f t="shared" si="9"/>
        <v>#DIV/0!</v>
      </c>
      <c r="AA21" s="42" t="e">
        <f t="shared" si="9"/>
        <v>#DIV/0!</v>
      </c>
      <c r="AB21" s="42" t="e">
        <f t="shared" si="9"/>
        <v>#DIV/0!</v>
      </c>
      <c r="AC21" s="42" t="e">
        <f t="shared" si="9"/>
        <v>#DIV/0!</v>
      </c>
      <c r="AD21" s="42" t="e">
        <f t="shared" si="9"/>
        <v>#DIV/0!</v>
      </c>
      <c r="AE21" s="42" t="e">
        <f t="shared" si="9"/>
        <v>#DIV/0!</v>
      </c>
      <c r="AF21" s="42" t="e">
        <f t="shared" si="9"/>
        <v>#DIV/0!</v>
      </c>
      <c r="AG21" s="42" t="e">
        <f t="shared" si="9"/>
        <v>#DIV/0!</v>
      </c>
      <c r="AH21" s="42" t="e">
        <f t="shared" si="9"/>
        <v>#DIV/0!</v>
      </c>
      <c r="AI21" s="42" t="e">
        <f t="shared" si="9"/>
        <v>#DIV/0!</v>
      </c>
      <c r="AJ21" s="42" t="e">
        <f t="shared" si="9"/>
        <v>#DIV/0!</v>
      </c>
      <c r="AK21" s="42" t="e">
        <f t="shared" si="9"/>
        <v>#DIV/0!</v>
      </c>
      <c r="AL21" s="42" t="e">
        <f t="shared" si="9"/>
        <v>#DIV/0!</v>
      </c>
    </row>
    <row r="22" spans="1:38" ht="32" x14ac:dyDescent="0.2">
      <c r="B22" t="s">
        <v>768</v>
      </c>
      <c r="C22" s="43" t="s">
        <v>769</v>
      </c>
      <c r="D22" s="43"/>
      <c r="E22" s="44" t="e">
        <f t="shared" ref="E22:K22" si="10">E9/((E3-E4)/365)</f>
        <v>#VALUE!</v>
      </c>
      <c r="F22" s="44" t="e">
        <f t="shared" si="10"/>
        <v>#DIV/0!</v>
      </c>
      <c r="G22" s="44" t="e">
        <f t="shared" si="10"/>
        <v>#DIV/0!</v>
      </c>
      <c r="H22" s="44" t="e">
        <f t="shared" si="10"/>
        <v>#DIV/0!</v>
      </c>
      <c r="I22" s="44" t="e">
        <f t="shared" si="10"/>
        <v>#DIV/0!</v>
      </c>
      <c r="J22" s="44" t="e">
        <f t="shared" si="10"/>
        <v>#DIV/0!</v>
      </c>
      <c r="K22" s="44" t="e">
        <f t="shared" si="10"/>
        <v>#DIV/0!</v>
      </c>
      <c r="L22" s="44" t="e">
        <f t="shared" ref="L22:O22" si="11">L9/((L3-L4)/365)</f>
        <v>#DIV/0!</v>
      </c>
      <c r="M22" s="44" t="e">
        <f t="shared" si="11"/>
        <v>#DIV/0!</v>
      </c>
      <c r="N22" s="44" t="e">
        <f t="shared" si="11"/>
        <v>#DIV/0!</v>
      </c>
      <c r="O22" s="44" t="e">
        <f t="shared" si="11"/>
        <v>#DIV/0!</v>
      </c>
      <c r="P22" s="44" t="e">
        <f t="shared" ref="P22:AL22" si="12">P9/((P3-P4)/365)</f>
        <v>#DIV/0!</v>
      </c>
      <c r="Q22" s="44" t="e">
        <f t="shared" si="12"/>
        <v>#DIV/0!</v>
      </c>
      <c r="R22" s="44" t="e">
        <f t="shared" si="12"/>
        <v>#DIV/0!</v>
      </c>
      <c r="S22" s="44" t="e">
        <f t="shared" si="12"/>
        <v>#DIV/0!</v>
      </c>
      <c r="T22" s="44" t="e">
        <f t="shared" si="12"/>
        <v>#DIV/0!</v>
      </c>
      <c r="U22" s="44" t="e">
        <f t="shared" si="12"/>
        <v>#DIV/0!</v>
      </c>
      <c r="V22" s="44" t="e">
        <f t="shared" si="12"/>
        <v>#DIV/0!</v>
      </c>
      <c r="W22" s="44" t="e">
        <f t="shared" si="12"/>
        <v>#DIV/0!</v>
      </c>
      <c r="X22" s="44" t="e">
        <f t="shared" si="12"/>
        <v>#DIV/0!</v>
      </c>
      <c r="Y22" s="44" t="e">
        <f t="shared" si="12"/>
        <v>#DIV/0!</v>
      </c>
      <c r="Z22" s="44" t="e">
        <f t="shared" si="12"/>
        <v>#DIV/0!</v>
      </c>
      <c r="AA22" s="44" t="e">
        <f t="shared" si="12"/>
        <v>#DIV/0!</v>
      </c>
      <c r="AB22" s="44" t="e">
        <f t="shared" si="12"/>
        <v>#DIV/0!</v>
      </c>
      <c r="AC22" s="44" t="e">
        <f t="shared" si="12"/>
        <v>#DIV/0!</v>
      </c>
      <c r="AD22" s="44" t="e">
        <f t="shared" si="12"/>
        <v>#DIV/0!</v>
      </c>
      <c r="AE22" s="44" t="e">
        <f t="shared" si="12"/>
        <v>#DIV/0!</v>
      </c>
      <c r="AF22" s="44" t="e">
        <f t="shared" si="12"/>
        <v>#DIV/0!</v>
      </c>
      <c r="AG22" s="44" t="e">
        <f t="shared" si="12"/>
        <v>#DIV/0!</v>
      </c>
      <c r="AH22" s="44" t="e">
        <f t="shared" si="12"/>
        <v>#DIV/0!</v>
      </c>
      <c r="AI22" s="44" t="e">
        <f t="shared" si="12"/>
        <v>#DIV/0!</v>
      </c>
      <c r="AJ22" s="44" t="e">
        <f t="shared" si="12"/>
        <v>#DIV/0!</v>
      </c>
      <c r="AK22" s="44" t="e">
        <f t="shared" si="12"/>
        <v>#DIV/0!</v>
      </c>
      <c r="AL22" s="44" t="e">
        <f t="shared" si="12"/>
        <v>#DIV/0!</v>
      </c>
    </row>
    <row r="23" spans="1:38" ht="32" x14ac:dyDescent="0.2">
      <c r="B23" t="s">
        <v>770</v>
      </c>
      <c r="C23" s="43" t="s">
        <v>771</v>
      </c>
      <c r="D23" s="43"/>
      <c r="E23" s="45" t="e">
        <f t="shared" ref="E23:K23" si="13">E10/E11</f>
        <v>#DIV/0!</v>
      </c>
      <c r="F23" s="45" t="e">
        <f t="shared" si="13"/>
        <v>#DIV/0!</v>
      </c>
      <c r="G23" s="45" t="e">
        <f t="shared" si="13"/>
        <v>#DIV/0!</v>
      </c>
      <c r="H23" s="45" t="e">
        <f t="shared" si="13"/>
        <v>#DIV/0!</v>
      </c>
      <c r="I23" s="45" t="e">
        <f t="shared" si="13"/>
        <v>#DIV/0!</v>
      </c>
      <c r="J23" s="45" t="e">
        <f t="shared" si="13"/>
        <v>#DIV/0!</v>
      </c>
      <c r="K23" s="45" t="e">
        <f t="shared" si="13"/>
        <v>#DIV/0!</v>
      </c>
      <c r="L23" s="45" t="e">
        <f t="shared" ref="L23:O23" si="14">L10/L11</f>
        <v>#DIV/0!</v>
      </c>
      <c r="M23" s="45" t="e">
        <f t="shared" si="14"/>
        <v>#DIV/0!</v>
      </c>
      <c r="N23" s="45" t="e">
        <f t="shared" si="14"/>
        <v>#DIV/0!</v>
      </c>
      <c r="O23" s="45" t="e">
        <f t="shared" si="14"/>
        <v>#DIV/0!</v>
      </c>
      <c r="P23" s="45" t="e">
        <f t="shared" ref="P23:AL23" si="15">P10/P11</f>
        <v>#DIV/0!</v>
      </c>
      <c r="Q23" s="45" t="e">
        <f t="shared" si="15"/>
        <v>#DIV/0!</v>
      </c>
      <c r="R23" s="45" t="e">
        <f t="shared" si="15"/>
        <v>#DIV/0!</v>
      </c>
      <c r="S23" s="45" t="e">
        <f t="shared" si="15"/>
        <v>#DIV/0!</v>
      </c>
      <c r="T23" s="45" t="e">
        <f t="shared" si="15"/>
        <v>#DIV/0!</v>
      </c>
      <c r="U23" s="45" t="e">
        <f t="shared" si="15"/>
        <v>#DIV/0!</v>
      </c>
      <c r="V23" s="45" t="e">
        <f t="shared" si="15"/>
        <v>#DIV/0!</v>
      </c>
      <c r="W23" s="45" t="e">
        <f t="shared" si="15"/>
        <v>#DIV/0!</v>
      </c>
      <c r="X23" s="45" t="e">
        <f t="shared" si="15"/>
        <v>#DIV/0!</v>
      </c>
      <c r="Y23" s="45" t="e">
        <f t="shared" si="15"/>
        <v>#DIV/0!</v>
      </c>
      <c r="Z23" s="45" t="e">
        <f t="shared" si="15"/>
        <v>#DIV/0!</v>
      </c>
      <c r="AA23" s="45" t="e">
        <f t="shared" si="15"/>
        <v>#DIV/0!</v>
      </c>
      <c r="AB23" s="45" t="e">
        <f t="shared" si="15"/>
        <v>#DIV/0!</v>
      </c>
      <c r="AC23" s="45" t="e">
        <f t="shared" si="15"/>
        <v>#DIV/0!</v>
      </c>
      <c r="AD23" s="45" t="e">
        <f t="shared" si="15"/>
        <v>#DIV/0!</v>
      </c>
      <c r="AE23" s="45" t="e">
        <f t="shared" si="15"/>
        <v>#DIV/0!</v>
      </c>
      <c r="AF23" s="45" t="e">
        <f t="shared" si="15"/>
        <v>#DIV/0!</v>
      </c>
      <c r="AG23" s="45" t="e">
        <f t="shared" si="15"/>
        <v>#DIV/0!</v>
      </c>
      <c r="AH23" s="45" t="e">
        <f t="shared" si="15"/>
        <v>#DIV/0!</v>
      </c>
      <c r="AI23" s="45" t="e">
        <f t="shared" si="15"/>
        <v>#DIV/0!</v>
      </c>
      <c r="AJ23" s="45" t="e">
        <f t="shared" si="15"/>
        <v>#DIV/0!</v>
      </c>
      <c r="AK23" s="45" t="e">
        <f t="shared" si="15"/>
        <v>#DIV/0!</v>
      </c>
      <c r="AL23" s="45" t="e">
        <f t="shared" si="15"/>
        <v>#DIV/0!</v>
      </c>
    </row>
    <row r="24" spans="1:38" ht="32" x14ac:dyDescent="0.2">
      <c r="B24" t="s">
        <v>772</v>
      </c>
      <c r="C24" s="41" t="s">
        <v>773</v>
      </c>
      <c r="D24" s="41"/>
      <c r="E24" s="42" t="e">
        <f t="shared" ref="E24:K24" si="16">E13/(E12-E13)</f>
        <v>#DIV/0!</v>
      </c>
      <c r="F24" s="42" t="e">
        <f t="shared" si="16"/>
        <v>#DIV/0!</v>
      </c>
      <c r="G24" s="42" t="e">
        <f t="shared" si="16"/>
        <v>#DIV/0!</v>
      </c>
      <c r="H24" s="42" t="e">
        <f t="shared" si="16"/>
        <v>#DIV/0!</v>
      </c>
      <c r="I24" s="42" t="e">
        <f t="shared" si="16"/>
        <v>#DIV/0!</v>
      </c>
      <c r="J24" s="42" t="e">
        <f t="shared" si="16"/>
        <v>#DIV/0!</v>
      </c>
      <c r="K24" s="42" t="e">
        <f t="shared" si="16"/>
        <v>#DIV/0!</v>
      </c>
      <c r="L24" s="42" t="e">
        <f t="shared" ref="L24:O24" si="17">L13/(L12-L13)</f>
        <v>#DIV/0!</v>
      </c>
      <c r="M24" s="42" t="e">
        <f t="shared" si="17"/>
        <v>#DIV/0!</v>
      </c>
      <c r="N24" s="42" t="e">
        <f t="shared" si="17"/>
        <v>#DIV/0!</v>
      </c>
      <c r="O24" s="42" t="e">
        <f t="shared" si="17"/>
        <v>#DIV/0!</v>
      </c>
      <c r="P24" s="42" t="e">
        <f t="shared" ref="P24:AL24" si="18">P13/(P12-P13)</f>
        <v>#DIV/0!</v>
      </c>
      <c r="Q24" s="42" t="e">
        <f t="shared" si="18"/>
        <v>#DIV/0!</v>
      </c>
      <c r="R24" s="42" t="e">
        <f t="shared" si="18"/>
        <v>#DIV/0!</v>
      </c>
      <c r="S24" s="42" t="e">
        <f t="shared" si="18"/>
        <v>#DIV/0!</v>
      </c>
      <c r="T24" s="42" t="e">
        <f t="shared" si="18"/>
        <v>#DIV/0!</v>
      </c>
      <c r="U24" s="42" t="e">
        <f t="shared" si="18"/>
        <v>#DIV/0!</v>
      </c>
      <c r="V24" s="42" t="e">
        <f t="shared" si="18"/>
        <v>#DIV/0!</v>
      </c>
      <c r="W24" s="42" t="e">
        <f t="shared" si="18"/>
        <v>#DIV/0!</v>
      </c>
      <c r="X24" s="42" t="e">
        <f t="shared" si="18"/>
        <v>#DIV/0!</v>
      </c>
      <c r="Y24" s="42" t="e">
        <f t="shared" si="18"/>
        <v>#DIV/0!</v>
      </c>
      <c r="Z24" s="42" t="e">
        <f t="shared" si="18"/>
        <v>#DIV/0!</v>
      </c>
      <c r="AA24" s="42" t="e">
        <f t="shared" si="18"/>
        <v>#DIV/0!</v>
      </c>
      <c r="AB24" s="42" t="e">
        <f t="shared" si="18"/>
        <v>#DIV/0!</v>
      </c>
      <c r="AC24" s="42" t="e">
        <f t="shared" si="18"/>
        <v>#DIV/0!</v>
      </c>
      <c r="AD24" s="42" t="e">
        <f t="shared" si="18"/>
        <v>#DIV/0!</v>
      </c>
      <c r="AE24" s="42" t="e">
        <f t="shared" si="18"/>
        <v>#DIV/0!</v>
      </c>
      <c r="AF24" s="42" t="e">
        <f t="shared" si="18"/>
        <v>#DIV/0!</v>
      </c>
      <c r="AG24" s="42" t="e">
        <f t="shared" si="18"/>
        <v>#DIV/0!</v>
      </c>
      <c r="AH24" s="42" t="e">
        <f t="shared" si="18"/>
        <v>#DIV/0!</v>
      </c>
      <c r="AI24" s="42" t="e">
        <f t="shared" si="18"/>
        <v>#DIV/0!</v>
      </c>
      <c r="AJ24" s="42" t="e">
        <f t="shared" si="18"/>
        <v>#DIV/0!</v>
      </c>
      <c r="AK24" s="42" t="e">
        <f t="shared" si="18"/>
        <v>#DIV/0!</v>
      </c>
      <c r="AL24" s="42" t="e">
        <f t="shared" si="18"/>
        <v>#DIV/0!</v>
      </c>
    </row>
    <row r="25" spans="1:38" ht="32" x14ac:dyDescent="0.2">
      <c r="A25" t="s">
        <v>774</v>
      </c>
      <c r="B25" t="s">
        <v>775</v>
      </c>
      <c r="C25" s="43" t="s">
        <v>776</v>
      </c>
      <c r="D25" s="43"/>
      <c r="E25" s="46" t="e">
        <f t="shared" ref="E25:K25" si="19">E10/E4</f>
        <v>#VALUE!</v>
      </c>
      <c r="F25" s="46" t="e">
        <f t="shared" si="19"/>
        <v>#DIV/0!</v>
      </c>
      <c r="G25" s="46" t="e">
        <f t="shared" si="19"/>
        <v>#DIV/0!</v>
      </c>
      <c r="H25" s="46" t="e">
        <f t="shared" si="19"/>
        <v>#DIV/0!</v>
      </c>
      <c r="I25" s="46" t="e">
        <f t="shared" si="19"/>
        <v>#DIV/0!</v>
      </c>
      <c r="J25" s="46" t="e">
        <f t="shared" si="19"/>
        <v>#DIV/0!</v>
      </c>
      <c r="K25" s="46" t="e">
        <f t="shared" si="19"/>
        <v>#DIV/0!</v>
      </c>
      <c r="L25" s="46" t="e">
        <f t="shared" ref="L25:O25" si="20">L10/L4</f>
        <v>#DIV/0!</v>
      </c>
      <c r="M25" s="46" t="e">
        <f t="shared" si="20"/>
        <v>#DIV/0!</v>
      </c>
      <c r="N25" s="46" t="e">
        <f t="shared" si="20"/>
        <v>#DIV/0!</v>
      </c>
      <c r="O25" s="46" t="e">
        <f t="shared" si="20"/>
        <v>#DIV/0!</v>
      </c>
      <c r="P25" s="46" t="e">
        <f t="shared" ref="P25:AL25" si="21">P10/P4</f>
        <v>#DIV/0!</v>
      </c>
      <c r="Q25" s="46" t="e">
        <f t="shared" si="21"/>
        <v>#DIV/0!</v>
      </c>
      <c r="R25" s="46" t="e">
        <f t="shared" si="21"/>
        <v>#DIV/0!</v>
      </c>
      <c r="S25" s="46" t="e">
        <f t="shared" si="21"/>
        <v>#DIV/0!</v>
      </c>
      <c r="T25" s="46" t="e">
        <f t="shared" si="21"/>
        <v>#DIV/0!</v>
      </c>
      <c r="U25" s="46" t="e">
        <f t="shared" si="21"/>
        <v>#DIV/0!</v>
      </c>
      <c r="V25" s="46" t="e">
        <f t="shared" si="21"/>
        <v>#DIV/0!</v>
      </c>
      <c r="W25" s="46" t="e">
        <f t="shared" si="21"/>
        <v>#DIV/0!</v>
      </c>
      <c r="X25" s="46" t="e">
        <f t="shared" si="21"/>
        <v>#DIV/0!</v>
      </c>
      <c r="Y25" s="46" t="e">
        <f t="shared" si="21"/>
        <v>#DIV/0!</v>
      </c>
      <c r="Z25" s="46" t="e">
        <f t="shared" si="21"/>
        <v>#DIV/0!</v>
      </c>
      <c r="AA25" s="46" t="e">
        <f t="shared" si="21"/>
        <v>#DIV/0!</v>
      </c>
      <c r="AB25" s="46" t="e">
        <f t="shared" si="21"/>
        <v>#DIV/0!</v>
      </c>
      <c r="AC25" s="46" t="e">
        <f t="shared" si="21"/>
        <v>#DIV/0!</v>
      </c>
      <c r="AD25" s="46" t="e">
        <f t="shared" si="21"/>
        <v>#DIV/0!</v>
      </c>
      <c r="AE25" s="46" t="e">
        <f t="shared" si="21"/>
        <v>#DIV/0!</v>
      </c>
      <c r="AF25" s="46" t="e">
        <f t="shared" si="21"/>
        <v>#DIV/0!</v>
      </c>
      <c r="AG25" s="46" t="e">
        <f t="shared" si="21"/>
        <v>#DIV/0!</v>
      </c>
      <c r="AH25" s="46" t="e">
        <f t="shared" si="21"/>
        <v>#DIV/0!</v>
      </c>
      <c r="AI25" s="46" t="e">
        <f t="shared" si="21"/>
        <v>#DIV/0!</v>
      </c>
      <c r="AJ25" s="46" t="e">
        <f t="shared" si="21"/>
        <v>#DIV/0!</v>
      </c>
      <c r="AK25" s="46" t="e">
        <f t="shared" si="21"/>
        <v>#DIV/0!</v>
      </c>
      <c r="AL25" s="46" t="e">
        <f t="shared" si="21"/>
        <v>#DIV/0!</v>
      </c>
    </row>
    <row r="26" spans="1:38" ht="16" x14ac:dyDescent="0.2">
      <c r="A26" t="s">
        <v>777</v>
      </c>
      <c r="B26" t="s">
        <v>778</v>
      </c>
      <c r="C26" s="41" t="s">
        <v>753</v>
      </c>
      <c r="D26" s="41"/>
      <c r="E26">
        <f t="shared" ref="E26:K26" si="22">E14</f>
        <v>0</v>
      </c>
      <c r="F26">
        <f t="shared" si="22"/>
        <v>0</v>
      </c>
      <c r="G26">
        <f t="shared" si="22"/>
        <v>0</v>
      </c>
      <c r="H26">
        <f t="shared" si="22"/>
        <v>0</v>
      </c>
      <c r="I26">
        <f t="shared" si="22"/>
        <v>0</v>
      </c>
      <c r="J26">
        <f t="shared" si="22"/>
        <v>0</v>
      </c>
      <c r="K26">
        <f t="shared" si="22"/>
        <v>0</v>
      </c>
      <c r="L26">
        <f>L14</f>
        <v>0</v>
      </c>
      <c r="M26">
        <f t="shared" ref="M26:AL26" si="23">M14</f>
        <v>0</v>
      </c>
      <c r="N26">
        <f t="shared" si="23"/>
        <v>0</v>
      </c>
      <c r="O26">
        <f t="shared" si="23"/>
        <v>0</v>
      </c>
      <c r="P26">
        <f t="shared" si="23"/>
        <v>0</v>
      </c>
      <c r="Q26">
        <f t="shared" si="23"/>
        <v>0</v>
      </c>
      <c r="R26">
        <f t="shared" si="23"/>
        <v>0</v>
      </c>
      <c r="S26">
        <f t="shared" si="23"/>
        <v>0</v>
      </c>
      <c r="T26">
        <f t="shared" si="23"/>
        <v>0</v>
      </c>
      <c r="U26">
        <f t="shared" si="23"/>
        <v>0</v>
      </c>
      <c r="V26">
        <f t="shared" si="23"/>
        <v>0</v>
      </c>
      <c r="W26">
        <f t="shared" si="23"/>
        <v>0</v>
      </c>
      <c r="X26">
        <f t="shared" si="23"/>
        <v>0</v>
      </c>
      <c r="Y26">
        <f t="shared" si="23"/>
        <v>0</v>
      </c>
      <c r="Z26">
        <f t="shared" si="23"/>
        <v>0</v>
      </c>
      <c r="AA26">
        <f t="shared" si="23"/>
        <v>0</v>
      </c>
      <c r="AB26">
        <f t="shared" si="23"/>
        <v>0</v>
      </c>
      <c r="AC26">
        <f t="shared" si="23"/>
        <v>0</v>
      </c>
      <c r="AD26">
        <f t="shared" si="23"/>
        <v>0</v>
      </c>
      <c r="AE26">
        <f t="shared" si="23"/>
        <v>0</v>
      </c>
      <c r="AF26">
        <f t="shared" si="23"/>
        <v>0</v>
      </c>
      <c r="AG26">
        <f t="shared" si="23"/>
        <v>0</v>
      </c>
      <c r="AH26">
        <f t="shared" si="23"/>
        <v>0</v>
      </c>
      <c r="AI26">
        <f t="shared" si="23"/>
        <v>0</v>
      </c>
      <c r="AJ26">
        <f t="shared" si="23"/>
        <v>0</v>
      </c>
      <c r="AK26">
        <f t="shared" si="23"/>
        <v>0</v>
      </c>
      <c r="AL26">
        <f t="shared" si="23"/>
        <v>0</v>
      </c>
    </row>
    <row r="27" spans="1:38" ht="32" x14ac:dyDescent="0.2">
      <c r="B27" t="s">
        <v>779</v>
      </c>
      <c r="C27" s="41" t="s">
        <v>780</v>
      </c>
      <c r="D27" s="41"/>
      <c r="E27" t="e">
        <f t="shared" ref="E27" si="24">E26/E4</f>
        <v>#VALUE!</v>
      </c>
      <c r="F27" t="e">
        <f t="shared" ref="F27" si="25">F26/F4</f>
        <v>#DIV/0!</v>
      </c>
      <c r="G27" t="e">
        <f t="shared" ref="G27" si="26">G26/G4</f>
        <v>#DIV/0!</v>
      </c>
      <c r="H27" t="e">
        <f t="shared" ref="H27" si="27">H26/H4</f>
        <v>#DIV/0!</v>
      </c>
      <c r="I27" t="e">
        <f t="shared" ref="I27" si="28">I26/I4</f>
        <v>#DIV/0!</v>
      </c>
      <c r="J27" t="e">
        <f t="shared" ref="J27" si="29">J26/J4</f>
        <v>#DIV/0!</v>
      </c>
      <c r="K27" t="e">
        <f t="shared" ref="K27" si="30">K26/K4</f>
        <v>#DIV/0!</v>
      </c>
      <c r="L27" t="e">
        <f t="shared" ref="L27:O27" si="31">L26/L4</f>
        <v>#DIV/0!</v>
      </c>
      <c r="M27" t="e">
        <f t="shared" si="31"/>
        <v>#DIV/0!</v>
      </c>
      <c r="N27" t="e">
        <f t="shared" si="31"/>
        <v>#DIV/0!</v>
      </c>
      <c r="O27" t="e">
        <f t="shared" si="31"/>
        <v>#DIV/0!</v>
      </c>
      <c r="P27" s="45" t="e">
        <f t="shared" ref="P27:AL27" si="32">P26/P4</f>
        <v>#DIV/0!</v>
      </c>
      <c r="Q27" s="45" t="e">
        <f t="shared" si="32"/>
        <v>#DIV/0!</v>
      </c>
      <c r="R27" s="45" t="e">
        <f t="shared" si="32"/>
        <v>#DIV/0!</v>
      </c>
      <c r="S27" s="45" t="e">
        <f t="shared" si="32"/>
        <v>#DIV/0!</v>
      </c>
      <c r="T27" s="45" t="e">
        <f t="shared" si="32"/>
        <v>#DIV/0!</v>
      </c>
      <c r="U27" s="45" t="e">
        <f t="shared" si="32"/>
        <v>#DIV/0!</v>
      </c>
      <c r="V27" s="45" t="e">
        <f t="shared" si="32"/>
        <v>#DIV/0!</v>
      </c>
      <c r="W27" s="45" t="e">
        <f t="shared" si="32"/>
        <v>#DIV/0!</v>
      </c>
      <c r="X27" s="45" t="e">
        <f t="shared" si="32"/>
        <v>#DIV/0!</v>
      </c>
      <c r="Y27" s="45" t="e">
        <f t="shared" si="32"/>
        <v>#DIV/0!</v>
      </c>
      <c r="Z27" s="45" t="e">
        <f t="shared" si="32"/>
        <v>#DIV/0!</v>
      </c>
      <c r="AA27" s="45" t="e">
        <f t="shared" si="32"/>
        <v>#DIV/0!</v>
      </c>
      <c r="AB27" s="45" t="e">
        <f t="shared" si="32"/>
        <v>#DIV/0!</v>
      </c>
      <c r="AC27" s="45" t="e">
        <f t="shared" si="32"/>
        <v>#DIV/0!</v>
      </c>
      <c r="AD27" s="45" t="e">
        <f t="shared" si="32"/>
        <v>#DIV/0!</v>
      </c>
      <c r="AE27" s="45" t="e">
        <f t="shared" si="32"/>
        <v>#DIV/0!</v>
      </c>
      <c r="AF27" s="45" t="e">
        <f t="shared" si="32"/>
        <v>#DIV/0!</v>
      </c>
      <c r="AG27" s="45" t="e">
        <f t="shared" si="32"/>
        <v>#DIV/0!</v>
      </c>
      <c r="AH27" s="45" t="e">
        <f t="shared" si="32"/>
        <v>#DIV/0!</v>
      </c>
      <c r="AI27" s="45" t="e">
        <f t="shared" si="32"/>
        <v>#DIV/0!</v>
      </c>
      <c r="AJ27" s="45" t="e">
        <f t="shared" si="32"/>
        <v>#DIV/0!</v>
      </c>
      <c r="AK27" s="45" t="e">
        <f t="shared" si="32"/>
        <v>#DIV/0!</v>
      </c>
      <c r="AL27" s="45" t="e">
        <f t="shared" si="32"/>
        <v>#DIV/0!</v>
      </c>
    </row>
    <row r="28" spans="1:38" x14ac:dyDescent="0.2">
      <c r="C28" s="47"/>
      <c r="D28" s="47"/>
    </row>
    <row r="29" spans="1:38" ht="32" x14ac:dyDescent="0.2">
      <c r="B29" s="48" t="s">
        <v>781</v>
      </c>
      <c r="C29" s="47"/>
      <c r="D29" s="47"/>
    </row>
    <row r="30" spans="1:38" x14ac:dyDescent="0.2">
      <c r="B30" t="s">
        <v>782</v>
      </c>
      <c r="C30" s="47"/>
      <c r="D30" s="47"/>
    </row>
    <row r="31" spans="1:38" x14ac:dyDescent="0.2">
      <c r="C31" s="47"/>
      <c r="D31" s="47"/>
    </row>
    <row r="32" spans="1:38" x14ac:dyDescent="0.2">
      <c r="C32" s="47"/>
      <c r="D32" s="47"/>
    </row>
    <row r="33" spans="3:4" x14ac:dyDescent="0.2">
      <c r="C33" s="49"/>
      <c r="D33" s="49"/>
    </row>
    <row r="34" spans="3:4" x14ac:dyDescent="0.2">
      <c r="C34" s="49"/>
      <c r="D34" s="49"/>
    </row>
    <row r="35" spans="3:4" x14ac:dyDescent="0.2">
      <c r="C35" s="49"/>
      <c r="D35" s="49"/>
    </row>
    <row r="36" spans="3:4" x14ac:dyDescent="0.2">
      <c r="C36" s="49"/>
      <c r="D36" s="49"/>
    </row>
    <row r="37" spans="3:4" x14ac:dyDescent="0.2">
      <c r="C37" s="49"/>
      <c r="D37" s="49"/>
    </row>
    <row r="38" spans="3:4" x14ac:dyDescent="0.2">
      <c r="C38" s="49"/>
      <c r="D38" s="49"/>
    </row>
    <row r="39" spans="3:4" x14ac:dyDescent="0.2">
      <c r="C39" s="49"/>
      <c r="D39" s="4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41"/>
  <sheetViews>
    <sheetView workbookViewId="0">
      <pane ySplit="1" topLeftCell="A184" activePane="bottomLeft" state="frozen"/>
      <selection pane="bottomLeft" activeCell="K238" sqref="K238:K241"/>
    </sheetView>
  </sheetViews>
  <sheetFormatPr baseColWidth="10" defaultColWidth="8.83203125" defaultRowHeight="15" x14ac:dyDescent="0.2"/>
  <cols>
    <col min="1" max="1" width="10.1640625" style="1" bestFit="1" customWidth="1"/>
    <col min="2" max="4" width="8.83203125" style="1"/>
    <col min="5" max="5" width="15.83203125" style="1" bestFit="1" customWidth="1"/>
    <col min="6" max="7" width="8.83203125" style="1"/>
    <col min="8" max="8" width="10.5" style="1" customWidth="1"/>
    <col min="9" max="11" width="8.83203125" style="1"/>
    <col min="12" max="13" width="8.83203125" style="23"/>
    <col min="14" max="16384" width="8.83203125" style="1"/>
  </cols>
  <sheetData>
    <row r="1" spans="1:13" x14ac:dyDescent="0.2">
      <c r="A1" s="2" t="s">
        <v>0</v>
      </c>
      <c r="B1" s="2" t="s">
        <v>27</v>
      </c>
      <c r="C1" s="2" t="s">
        <v>2</v>
      </c>
      <c r="D1" s="2" t="s">
        <v>86</v>
      </c>
      <c r="E1" s="2" t="s">
        <v>87</v>
      </c>
      <c r="F1" s="2" t="s">
        <v>88</v>
      </c>
      <c r="G1" s="2" t="s">
        <v>89</v>
      </c>
      <c r="H1" s="5" t="s">
        <v>90</v>
      </c>
      <c r="I1" s="2" t="s">
        <v>91</v>
      </c>
      <c r="J1" s="2" t="s">
        <v>92</v>
      </c>
      <c r="K1" s="2" t="s">
        <v>93</v>
      </c>
      <c r="L1" s="2" t="s">
        <v>94</v>
      </c>
      <c r="M1" s="2" t="s">
        <v>95</v>
      </c>
    </row>
    <row r="2" spans="1:13" x14ac:dyDescent="0.2">
      <c r="A2" s="1" t="s">
        <v>170</v>
      </c>
      <c r="B2" s="1" t="s">
        <v>172</v>
      </c>
      <c r="C2" s="1">
        <v>1991</v>
      </c>
      <c r="D2" s="1" t="s">
        <v>329</v>
      </c>
      <c r="E2" s="1" t="s">
        <v>177</v>
      </c>
      <c r="F2" s="1">
        <v>1991</v>
      </c>
      <c r="G2" s="1" t="s">
        <v>179</v>
      </c>
      <c r="H2" s="1">
        <v>125000</v>
      </c>
      <c r="I2" s="1">
        <v>6</v>
      </c>
      <c r="J2" s="1">
        <f>5000000-H2</f>
        <v>4875000</v>
      </c>
      <c r="K2" s="1">
        <v>261515</v>
      </c>
      <c r="L2" s="23">
        <v>6</v>
      </c>
      <c r="M2" s="23">
        <v>100</v>
      </c>
    </row>
    <row r="3" spans="1:13" x14ac:dyDescent="0.2">
      <c r="A3" s="1" t="s">
        <v>170</v>
      </c>
      <c r="B3" s="1" t="s">
        <v>172</v>
      </c>
      <c r="C3" s="1">
        <v>1991</v>
      </c>
      <c r="D3" s="1" t="s">
        <v>329</v>
      </c>
      <c r="E3" s="1" t="s">
        <v>177</v>
      </c>
      <c r="F3" s="1">
        <v>1992</v>
      </c>
      <c r="G3" s="1" t="s">
        <v>179</v>
      </c>
      <c r="H3" s="1">
        <v>130000</v>
      </c>
      <c r="I3" s="1">
        <v>6.2</v>
      </c>
      <c r="J3" s="1">
        <f>J2-H3</f>
        <v>4745000</v>
      </c>
      <c r="K3" s="1">
        <v>360255</v>
      </c>
      <c r="L3" s="23">
        <v>6.2</v>
      </c>
      <c r="M3" s="23">
        <v>100</v>
      </c>
    </row>
    <row r="4" spans="1:13" x14ac:dyDescent="0.2">
      <c r="A4" s="1" t="s">
        <v>170</v>
      </c>
      <c r="B4" s="1" t="s">
        <v>172</v>
      </c>
      <c r="C4" s="1">
        <v>1991</v>
      </c>
      <c r="D4" s="1" t="s">
        <v>329</v>
      </c>
      <c r="E4" s="1" t="s">
        <v>177</v>
      </c>
      <c r="F4" s="1">
        <v>1993</v>
      </c>
      <c r="G4" s="1" t="s">
        <v>179</v>
      </c>
      <c r="H4" s="1">
        <v>140000</v>
      </c>
      <c r="I4" s="1">
        <v>6.35</v>
      </c>
      <c r="J4" s="1">
        <f t="shared" ref="J4:J21" si="0">J3-H4</f>
        <v>4605000</v>
      </c>
      <c r="K4" s="1">
        <v>352195</v>
      </c>
      <c r="L4" s="23">
        <v>6.35</v>
      </c>
      <c r="M4" s="23">
        <v>100</v>
      </c>
    </row>
    <row r="5" spans="1:13" x14ac:dyDescent="0.2">
      <c r="A5" s="1" t="s">
        <v>170</v>
      </c>
      <c r="B5" s="1" t="s">
        <v>172</v>
      </c>
      <c r="C5" s="1">
        <v>1991</v>
      </c>
      <c r="D5" s="1" t="s">
        <v>329</v>
      </c>
      <c r="E5" s="1" t="s">
        <v>177</v>
      </c>
      <c r="F5" s="1">
        <v>1994</v>
      </c>
      <c r="G5" s="1" t="s">
        <v>179</v>
      </c>
      <c r="H5" s="1">
        <v>150000</v>
      </c>
      <c r="I5" s="1">
        <v>6.5</v>
      </c>
      <c r="J5" s="1">
        <f t="shared" si="0"/>
        <v>4455000</v>
      </c>
      <c r="K5" s="1">
        <v>343305</v>
      </c>
      <c r="L5" s="23">
        <v>6.5</v>
      </c>
      <c r="M5" s="23">
        <v>100</v>
      </c>
    </row>
    <row r="6" spans="1:13" x14ac:dyDescent="0.2">
      <c r="A6" s="1" t="s">
        <v>170</v>
      </c>
      <c r="B6" s="1" t="s">
        <v>172</v>
      </c>
      <c r="C6" s="1">
        <v>1991</v>
      </c>
      <c r="D6" s="1" t="s">
        <v>329</v>
      </c>
      <c r="E6" s="1" t="s">
        <v>177</v>
      </c>
      <c r="F6" s="1">
        <v>1995</v>
      </c>
      <c r="G6" s="1" t="s">
        <v>179</v>
      </c>
      <c r="H6" s="1">
        <v>160000</v>
      </c>
      <c r="I6" s="1">
        <v>6.6</v>
      </c>
      <c r="J6" s="1">
        <f t="shared" si="0"/>
        <v>4295000</v>
      </c>
      <c r="K6" s="1">
        <v>333555</v>
      </c>
      <c r="L6" s="23">
        <v>6.6</v>
      </c>
      <c r="M6" s="23">
        <v>100</v>
      </c>
    </row>
    <row r="7" spans="1:13" x14ac:dyDescent="0.2">
      <c r="A7" s="1" t="s">
        <v>170</v>
      </c>
      <c r="B7" s="1" t="s">
        <v>172</v>
      </c>
      <c r="C7" s="1">
        <v>1990</v>
      </c>
      <c r="D7" s="1" t="s">
        <v>174</v>
      </c>
      <c r="E7" s="1" t="s">
        <v>177</v>
      </c>
      <c r="F7" s="1">
        <v>1996</v>
      </c>
      <c r="G7" s="1" t="s">
        <v>179</v>
      </c>
      <c r="H7" s="1">
        <v>170000</v>
      </c>
      <c r="I7" s="1">
        <v>6.7</v>
      </c>
      <c r="J7" s="1">
        <f t="shared" si="0"/>
        <v>4125000</v>
      </c>
      <c r="K7" s="1">
        <v>322995</v>
      </c>
      <c r="L7" s="23">
        <v>6.7</v>
      </c>
      <c r="M7" s="23">
        <v>100</v>
      </c>
    </row>
    <row r="8" spans="1:13" x14ac:dyDescent="0.2">
      <c r="A8" s="1" t="s">
        <v>170</v>
      </c>
      <c r="B8" s="1" t="s">
        <v>172</v>
      </c>
      <c r="C8" s="1">
        <v>1990</v>
      </c>
      <c r="D8" s="1" t="s">
        <v>174</v>
      </c>
      <c r="E8" s="1" t="s">
        <v>177</v>
      </c>
      <c r="F8" s="1">
        <v>1997</v>
      </c>
      <c r="G8" s="1" t="s">
        <v>179</v>
      </c>
      <c r="H8" s="1">
        <v>180000</v>
      </c>
      <c r="I8" s="1">
        <v>6.8</v>
      </c>
      <c r="J8" s="1">
        <f t="shared" si="0"/>
        <v>3945000</v>
      </c>
      <c r="K8" s="1">
        <v>311605</v>
      </c>
      <c r="L8" s="23">
        <v>6.8</v>
      </c>
      <c r="M8" s="23">
        <v>100</v>
      </c>
    </row>
    <row r="9" spans="1:13" x14ac:dyDescent="0.2">
      <c r="A9" s="1" t="s">
        <v>170</v>
      </c>
      <c r="B9" s="1" t="s">
        <v>172</v>
      </c>
      <c r="C9" s="1">
        <v>1990</v>
      </c>
      <c r="D9" s="1" t="s">
        <v>174</v>
      </c>
      <c r="E9" s="1" t="s">
        <v>177</v>
      </c>
      <c r="F9" s="1">
        <v>1998</v>
      </c>
      <c r="G9" s="1" t="s">
        <v>179</v>
      </c>
      <c r="H9" s="1">
        <v>190000</v>
      </c>
      <c r="I9" s="1">
        <v>6.9</v>
      </c>
      <c r="J9" s="1">
        <f t="shared" si="0"/>
        <v>3755000</v>
      </c>
      <c r="K9" s="1">
        <v>299365</v>
      </c>
      <c r="L9" s="23">
        <v>6.9</v>
      </c>
      <c r="M9" s="23">
        <v>100</v>
      </c>
    </row>
    <row r="10" spans="1:13" x14ac:dyDescent="0.2">
      <c r="A10" s="1" t="s">
        <v>170</v>
      </c>
      <c r="B10" s="1" t="s">
        <v>172</v>
      </c>
      <c r="C10" s="1">
        <v>1990</v>
      </c>
      <c r="D10" s="1" t="s">
        <v>174</v>
      </c>
      <c r="E10" s="1" t="s">
        <v>177</v>
      </c>
      <c r="F10" s="1">
        <v>1999</v>
      </c>
      <c r="G10" s="1" t="s">
        <v>179</v>
      </c>
      <c r="H10" s="1">
        <v>205000</v>
      </c>
      <c r="I10" s="1">
        <v>7</v>
      </c>
      <c r="J10" s="1">
        <f t="shared" si="0"/>
        <v>3550000</v>
      </c>
      <c r="K10" s="1">
        <v>286255</v>
      </c>
      <c r="L10" s="23">
        <v>7</v>
      </c>
      <c r="M10" s="23">
        <v>100</v>
      </c>
    </row>
    <row r="11" spans="1:13" x14ac:dyDescent="0.2">
      <c r="A11" s="1" t="s">
        <v>170</v>
      </c>
      <c r="B11" s="1" t="s">
        <v>172</v>
      </c>
      <c r="C11" s="1">
        <v>1990</v>
      </c>
      <c r="D11" s="1" t="s">
        <v>174</v>
      </c>
      <c r="E11" s="1" t="s">
        <v>177</v>
      </c>
      <c r="F11" s="1">
        <v>2000</v>
      </c>
      <c r="G11" s="1" t="s">
        <v>179</v>
      </c>
      <c r="H11" s="1">
        <v>220000</v>
      </c>
      <c r="I11" s="1">
        <v>7.15</v>
      </c>
      <c r="J11" s="1">
        <f t="shared" si="0"/>
        <v>3330000</v>
      </c>
      <c r="K11" s="1">
        <v>271905</v>
      </c>
      <c r="L11" s="23">
        <v>7.15</v>
      </c>
      <c r="M11" s="23">
        <v>100</v>
      </c>
    </row>
    <row r="12" spans="1:13" x14ac:dyDescent="0.2">
      <c r="A12" s="1" t="s">
        <v>170</v>
      </c>
      <c r="B12" s="1" t="s">
        <v>172</v>
      </c>
      <c r="C12" s="1">
        <v>1990</v>
      </c>
      <c r="D12" s="1" t="s">
        <v>174</v>
      </c>
      <c r="E12" s="1" t="s">
        <v>177</v>
      </c>
      <c r="F12" s="1">
        <v>2001</v>
      </c>
      <c r="G12" s="1" t="s">
        <v>179</v>
      </c>
      <c r="H12" s="1">
        <v>235000</v>
      </c>
      <c r="I12" s="1">
        <v>7.3</v>
      </c>
      <c r="J12" s="1">
        <f t="shared" si="0"/>
        <v>3095000</v>
      </c>
      <c r="K12" s="1">
        <v>256175</v>
      </c>
      <c r="L12" s="23">
        <v>7.3</v>
      </c>
      <c r="M12" s="23">
        <v>100</v>
      </c>
    </row>
    <row r="13" spans="1:13" x14ac:dyDescent="0.2">
      <c r="A13" s="1" t="s">
        <v>170</v>
      </c>
      <c r="B13" s="1" t="s">
        <v>172</v>
      </c>
      <c r="C13" s="1">
        <v>1990</v>
      </c>
      <c r="D13" s="1" t="s">
        <v>174</v>
      </c>
      <c r="E13" s="1" t="s">
        <v>177</v>
      </c>
      <c r="F13" s="1">
        <v>2002</v>
      </c>
      <c r="G13" s="1" t="s">
        <v>179</v>
      </c>
      <c r="H13" s="1">
        <v>250000</v>
      </c>
      <c r="I13" s="1">
        <v>7.4</v>
      </c>
      <c r="J13" s="1">
        <f t="shared" si="0"/>
        <v>2845000</v>
      </c>
      <c r="K13" s="1">
        <v>239020</v>
      </c>
      <c r="L13" s="23">
        <v>7.4</v>
      </c>
      <c r="M13" s="23">
        <v>100</v>
      </c>
    </row>
    <row r="14" spans="1:13" x14ac:dyDescent="0.2">
      <c r="A14" s="1" t="s">
        <v>170</v>
      </c>
      <c r="B14" s="1" t="s">
        <v>172</v>
      </c>
      <c r="C14" s="1">
        <v>1990</v>
      </c>
      <c r="D14" s="1" t="s">
        <v>174</v>
      </c>
      <c r="E14" s="1" t="s">
        <v>177</v>
      </c>
      <c r="F14" s="1">
        <v>2003</v>
      </c>
      <c r="G14" s="1" t="s">
        <v>179</v>
      </c>
      <c r="H14" s="1">
        <v>270000</v>
      </c>
      <c r="I14" s="1">
        <v>7.5</v>
      </c>
      <c r="J14" s="1">
        <f t="shared" si="0"/>
        <v>2575000</v>
      </c>
      <c r="K14" s="1">
        <v>220520</v>
      </c>
      <c r="L14" s="23">
        <v>7.5</v>
      </c>
      <c r="M14" s="23">
        <v>100</v>
      </c>
    </row>
    <row r="15" spans="1:13" x14ac:dyDescent="0.2">
      <c r="A15" s="1" t="s">
        <v>170</v>
      </c>
      <c r="B15" s="1" t="s">
        <v>172</v>
      </c>
      <c r="C15" s="1">
        <v>1990</v>
      </c>
      <c r="D15" s="1" t="s">
        <v>174</v>
      </c>
      <c r="E15" s="1" t="s">
        <v>177</v>
      </c>
      <c r="F15" s="1">
        <v>2004</v>
      </c>
      <c r="G15" s="1" t="s">
        <v>179</v>
      </c>
      <c r="H15" s="1">
        <v>290000</v>
      </c>
      <c r="I15" s="1">
        <v>7.6</v>
      </c>
      <c r="J15" s="1">
        <f t="shared" si="0"/>
        <v>2285000</v>
      </c>
      <c r="K15" s="1">
        <v>200270</v>
      </c>
      <c r="L15" s="23">
        <v>7.6</v>
      </c>
      <c r="M15" s="23">
        <v>100</v>
      </c>
    </row>
    <row r="16" spans="1:13" x14ac:dyDescent="0.2">
      <c r="A16" s="1" t="s">
        <v>170</v>
      </c>
      <c r="B16" s="1" t="s">
        <v>172</v>
      </c>
      <c r="C16" s="1">
        <v>1990</v>
      </c>
      <c r="D16" s="1" t="s">
        <v>174</v>
      </c>
      <c r="E16" s="1" t="s">
        <v>178</v>
      </c>
      <c r="F16" s="1">
        <v>2005</v>
      </c>
      <c r="G16" s="1" t="s">
        <v>179</v>
      </c>
      <c r="H16" s="1">
        <v>315000</v>
      </c>
      <c r="I16" s="1">
        <v>7.8</v>
      </c>
      <c r="J16" s="1">
        <f t="shared" si="0"/>
        <v>1970000</v>
      </c>
      <c r="K16" s="1">
        <v>178230</v>
      </c>
      <c r="L16" s="23" t="s">
        <v>176</v>
      </c>
      <c r="M16" s="23">
        <v>99.5</v>
      </c>
    </row>
    <row r="17" spans="1:13" x14ac:dyDescent="0.2">
      <c r="A17" s="1" t="s">
        <v>170</v>
      </c>
      <c r="B17" s="1" t="s">
        <v>172</v>
      </c>
      <c r="C17" s="1">
        <v>1990</v>
      </c>
      <c r="D17" s="1" t="s">
        <v>174</v>
      </c>
      <c r="E17" s="1" t="s">
        <v>178</v>
      </c>
      <c r="F17" s="1">
        <v>2006</v>
      </c>
      <c r="G17" s="1" t="s">
        <v>179</v>
      </c>
      <c r="H17" s="1">
        <v>335000</v>
      </c>
      <c r="I17" s="1">
        <v>7.8</v>
      </c>
      <c r="J17" s="1">
        <f t="shared" si="0"/>
        <v>1635000</v>
      </c>
      <c r="K17" s="1">
        <v>153660</v>
      </c>
      <c r="L17" s="23" t="s">
        <v>176</v>
      </c>
      <c r="M17" s="23">
        <v>99.5</v>
      </c>
    </row>
    <row r="18" spans="1:13" x14ac:dyDescent="0.2">
      <c r="A18" s="1" t="s">
        <v>170</v>
      </c>
      <c r="B18" s="1" t="s">
        <v>172</v>
      </c>
      <c r="C18" s="1">
        <v>1990</v>
      </c>
      <c r="D18" s="1" t="s">
        <v>174</v>
      </c>
      <c r="E18" s="1" t="s">
        <v>178</v>
      </c>
      <c r="F18" s="1">
        <v>2007</v>
      </c>
      <c r="G18" s="1" t="s">
        <v>179</v>
      </c>
      <c r="H18" s="1">
        <v>365000</v>
      </c>
      <c r="I18" s="1">
        <v>7.8</v>
      </c>
      <c r="J18" s="1">
        <f t="shared" si="0"/>
        <v>1270000</v>
      </c>
      <c r="K18" s="1">
        <v>127530</v>
      </c>
      <c r="L18" s="23" t="s">
        <v>176</v>
      </c>
      <c r="M18" s="23">
        <v>99.5</v>
      </c>
    </row>
    <row r="19" spans="1:13" x14ac:dyDescent="0.2">
      <c r="A19" s="1" t="s">
        <v>170</v>
      </c>
      <c r="B19" s="1" t="s">
        <v>172</v>
      </c>
      <c r="C19" s="1">
        <v>1990</v>
      </c>
      <c r="D19" s="1" t="s">
        <v>174</v>
      </c>
      <c r="E19" s="1" t="s">
        <v>178</v>
      </c>
      <c r="F19" s="1">
        <v>2008</v>
      </c>
      <c r="G19" s="1" t="s">
        <v>179</v>
      </c>
      <c r="H19" s="1">
        <v>390000</v>
      </c>
      <c r="I19" s="1">
        <v>7.8</v>
      </c>
      <c r="J19" s="1">
        <f t="shared" si="0"/>
        <v>880000</v>
      </c>
      <c r="K19" s="1">
        <v>99060</v>
      </c>
      <c r="L19" s="23" t="s">
        <v>176</v>
      </c>
      <c r="M19" s="23">
        <v>99.5</v>
      </c>
    </row>
    <row r="20" spans="1:13" x14ac:dyDescent="0.2">
      <c r="A20" s="1" t="s">
        <v>170</v>
      </c>
      <c r="B20" s="1" t="s">
        <v>172</v>
      </c>
      <c r="C20" s="1">
        <v>1990</v>
      </c>
      <c r="D20" s="1" t="s">
        <v>174</v>
      </c>
      <c r="E20" s="1" t="s">
        <v>178</v>
      </c>
      <c r="F20" s="1">
        <v>2009</v>
      </c>
      <c r="G20" s="1" t="s">
        <v>179</v>
      </c>
      <c r="H20" s="1">
        <v>425000</v>
      </c>
      <c r="I20" s="1">
        <v>7.8</v>
      </c>
      <c r="J20" s="1">
        <f t="shared" si="0"/>
        <v>455000</v>
      </c>
      <c r="K20" s="1">
        <v>68640</v>
      </c>
      <c r="L20" s="23" t="s">
        <v>176</v>
      </c>
      <c r="M20" s="23">
        <v>99.5</v>
      </c>
    </row>
    <row r="21" spans="1:13" x14ac:dyDescent="0.2">
      <c r="A21" s="1" t="s">
        <v>170</v>
      </c>
      <c r="B21" s="1" t="s">
        <v>172</v>
      </c>
      <c r="C21" s="1">
        <v>1990</v>
      </c>
      <c r="D21" s="1" t="s">
        <v>174</v>
      </c>
      <c r="E21" s="1" t="s">
        <v>178</v>
      </c>
      <c r="F21" s="1">
        <v>2010</v>
      </c>
      <c r="G21" s="1" t="s">
        <v>179</v>
      </c>
      <c r="H21" s="1">
        <v>455000</v>
      </c>
      <c r="I21" s="1">
        <v>7.8</v>
      </c>
      <c r="J21" s="1">
        <f t="shared" si="0"/>
        <v>0</v>
      </c>
      <c r="K21" s="1">
        <v>35490</v>
      </c>
      <c r="L21" s="23" t="s">
        <v>176</v>
      </c>
      <c r="M21" s="23">
        <v>99.5</v>
      </c>
    </row>
    <row r="22" spans="1:13" x14ac:dyDescent="0.2">
      <c r="A22" s="1" t="s">
        <v>170</v>
      </c>
      <c r="B22" s="1" t="s">
        <v>172</v>
      </c>
      <c r="C22" s="1">
        <v>1991</v>
      </c>
      <c r="D22" s="1" t="s">
        <v>174</v>
      </c>
      <c r="E22" s="1" t="s">
        <v>177</v>
      </c>
      <c r="F22" s="1">
        <v>1991</v>
      </c>
      <c r="G22" s="1" t="s">
        <v>330</v>
      </c>
      <c r="H22" s="1">
        <v>0</v>
      </c>
      <c r="I22" s="1" t="s">
        <v>176</v>
      </c>
      <c r="J22" s="1">
        <f t="shared" ref="J22:J29" si="1">15351908</f>
        <v>15351908</v>
      </c>
      <c r="L22" s="23" t="s">
        <v>176</v>
      </c>
      <c r="M22" s="23" t="s">
        <v>176</v>
      </c>
    </row>
    <row r="23" spans="1:13" x14ac:dyDescent="0.2">
      <c r="A23" s="1" t="s">
        <v>170</v>
      </c>
      <c r="B23" s="1" t="s">
        <v>172</v>
      </c>
      <c r="C23" s="1">
        <v>1991</v>
      </c>
      <c r="D23" s="1" t="s">
        <v>174</v>
      </c>
      <c r="E23" s="1" t="s">
        <v>177</v>
      </c>
      <c r="F23" s="1">
        <v>1992</v>
      </c>
      <c r="G23" s="1" t="s">
        <v>330</v>
      </c>
      <c r="H23" s="1">
        <v>0</v>
      </c>
      <c r="I23" s="1" t="s">
        <v>176</v>
      </c>
      <c r="J23" s="1">
        <f t="shared" si="1"/>
        <v>15351908</v>
      </c>
      <c r="L23" s="23" t="s">
        <v>176</v>
      </c>
      <c r="M23" s="23" t="s">
        <v>176</v>
      </c>
    </row>
    <row r="24" spans="1:13" x14ac:dyDescent="0.2">
      <c r="A24" s="1" t="s">
        <v>170</v>
      </c>
      <c r="B24" s="1" t="s">
        <v>172</v>
      </c>
      <c r="C24" s="1">
        <v>1991</v>
      </c>
      <c r="D24" s="1" t="s">
        <v>174</v>
      </c>
      <c r="E24" s="1" t="s">
        <v>177</v>
      </c>
      <c r="F24" s="1">
        <v>1993</v>
      </c>
      <c r="G24" s="1" t="s">
        <v>330</v>
      </c>
      <c r="H24" s="1">
        <v>0</v>
      </c>
      <c r="I24" s="1" t="s">
        <v>176</v>
      </c>
      <c r="J24" s="1">
        <f t="shared" si="1"/>
        <v>15351908</v>
      </c>
      <c r="L24" s="23" t="s">
        <v>176</v>
      </c>
      <c r="M24" s="23" t="s">
        <v>176</v>
      </c>
    </row>
    <row r="25" spans="1:13" x14ac:dyDescent="0.2">
      <c r="A25" s="1" t="s">
        <v>170</v>
      </c>
      <c r="B25" s="1" t="s">
        <v>172</v>
      </c>
      <c r="C25" s="1">
        <v>1991</v>
      </c>
      <c r="D25" s="1" t="s">
        <v>174</v>
      </c>
      <c r="E25" s="1" t="s">
        <v>177</v>
      </c>
      <c r="F25" s="1">
        <v>1994</v>
      </c>
      <c r="G25" s="1" t="s">
        <v>330</v>
      </c>
      <c r="H25" s="1">
        <v>0</v>
      </c>
      <c r="I25" s="1" t="s">
        <v>176</v>
      </c>
      <c r="J25" s="1">
        <f t="shared" si="1"/>
        <v>15351908</v>
      </c>
      <c r="L25" s="23" t="s">
        <v>176</v>
      </c>
      <c r="M25" s="23" t="s">
        <v>176</v>
      </c>
    </row>
    <row r="26" spans="1:13" x14ac:dyDescent="0.2">
      <c r="A26" s="1" t="s">
        <v>170</v>
      </c>
      <c r="B26" s="1" t="s">
        <v>172</v>
      </c>
      <c r="C26" s="1">
        <v>1991</v>
      </c>
      <c r="D26" s="1" t="s">
        <v>174</v>
      </c>
      <c r="E26" s="1" t="s">
        <v>177</v>
      </c>
      <c r="F26" s="1">
        <v>1995</v>
      </c>
      <c r="G26" s="1" t="s">
        <v>330</v>
      </c>
      <c r="H26" s="1">
        <v>0</v>
      </c>
      <c r="I26" s="1" t="s">
        <v>176</v>
      </c>
      <c r="J26" s="1">
        <f t="shared" si="1"/>
        <v>15351908</v>
      </c>
      <c r="L26" s="23" t="s">
        <v>176</v>
      </c>
      <c r="M26" s="23" t="s">
        <v>176</v>
      </c>
    </row>
    <row r="27" spans="1:13" x14ac:dyDescent="0.2">
      <c r="A27" s="1" t="s">
        <v>170</v>
      </c>
      <c r="B27" s="1" t="s">
        <v>172</v>
      </c>
      <c r="C27" s="1">
        <v>1991</v>
      </c>
      <c r="D27" s="1" t="s">
        <v>174</v>
      </c>
      <c r="E27" s="1" t="s">
        <v>177</v>
      </c>
      <c r="F27" s="1">
        <v>1996</v>
      </c>
      <c r="G27" s="1" t="s">
        <v>330</v>
      </c>
      <c r="H27" s="1">
        <v>0</v>
      </c>
      <c r="I27" s="1" t="s">
        <v>176</v>
      </c>
      <c r="J27" s="1">
        <f t="shared" si="1"/>
        <v>15351908</v>
      </c>
      <c r="L27" s="23" t="s">
        <v>176</v>
      </c>
      <c r="M27" s="23" t="s">
        <v>176</v>
      </c>
    </row>
    <row r="28" spans="1:13" x14ac:dyDescent="0.2">
      <c r="A28" s="1" t="s">
        <v>170</v>
      </c>
      <c r="B28" s="1" t="s">
        <v>172</v>
      </c>
      <c r="C28" s="1">
        <v>1991</v>
      </c>
      <c r="D28" s="1" t="s">
        <v>174</v>
      </c>
      <c r="E28" s="1" t="s">
        <v>177</v>
      </c>
      <c r="F28" s="1">
        <v>1997</v>
      </c>
      <c r="G28" s="1" t="s">
        <v>330</v>
      </c>
      <c r="H28" s="1">
        <v>0</v>
      </c>
      <c r="I28" s="1" t="s">
        <v>176</v>
      </c>
      <c r="J28" s="1">
        <f t="shared" si="1"/>
        <v>15351908</v>
      </c>
      <c r="L28" s="23" t="s">
        <v>176</v>
      </c>
      <c r="M28" s="23" t="s">
        <v>176</v>
      </c>
    </row>
    <row r="29" spans="1:13" x14ac:dyDescent="0.2">
      <c r="A29" s="1" t="s">
        <v>170</v>
      </c>
      <c r="B29" s="1" t="s">
        <v>172</v>
      </c>
      <c r="C29" s="1">
        <v>1991</v>
      </c>
      <c r="D29" s="1" t="s">
        <v>174</v>
      </c>
      <c r="E29" s="1" t="s">
        <v>177</v>
      </c>
      <c r="F29" s="1">
        <v>1998</v>
      </c>
      <c r="G29" s="1" t="s">
        <v>330</v>
      </c>
      <c r="H29" s="1">
        <v>0</v>
      </c>
      <c r="I29" s="1" t="s">
        <v>176</v>
      </c>
      <c r="J29" s="1">
        <f t="shared" si="1"/>
        <v>15351908</v>
      </c>
      <c r="L29" s="23" t="s">
        <v>176</v>
      </c>
      <c r="M29" s="23" t="s">
        <v>176</v>
      </c>
    </row>
    <row r="30" spans="1:13" x14ac:dyDescent="0.2">
      <c r="A30" s="1" t="s">
        <v>170</v>
      </c>
      <c r="B30" s="1" t="s">
        <v>172</v>
      </c>
      <c r="C30" s="1">
        <v>1991</v>
      </c>
      <c r="D30" s="1" t="s">
        <v>174</v>
      </c>
      <c r="E30" s="1" t="s">
        <v>177</v>
      </c>
      <c r="F30" s="1">
        <v>1999</v>
      </c>
      <c r="G30" s="1" t="s">
        <v>330</v>
      </c>
      <c r="H30" s="1" t="s">
        <v>176</v>
      </c>
      <c r="I30" s="1" t="s">
        <v>176</v>
      </c>
      <c r="J30" s="1">
        <f>15351908</f>
        <v>15351908</v>
      </c>
      <c r="K30" s="1" t="s">
        <v>176</v>
      </c>
      <c r="L30" s="23">
        <v>6.4</v>
      </c>
      <c r="M30" s="23">
        <v>60.031999999999996</v>
      </c>
    </row>
    <row r="31" spans="1:13" x14ac:dyDescent="0.2">
      <c r="A31" s="1" t="s">
        <v>170</v>
      </c>
      <c r="B31" s="1" t="s">
        <v>172</v>
      </c>
      <c r="C31" s="1">
        <v>1991</v>
      </c>
      <c r="D31" s="1" t="s">
        <v>174</v>
      </c>
      <c r="E31" s="1" t="s">
        <v>177</v>
      </c>
      <c r="F31" s="1">
        <v>2000</v>
      </c>
      <c r="G31" s="1" t="s">
        <v>330</v>
      </c>
      <c r="H31" s="1" t="s">
        <v>176</v>
      </c>
      <c r="I31" s="1" t="s">
        <v>176</v>
      </c>
      <c r="J31" s="1" t="s">
        <v>176</v>
      </c>
      <c r="K31" s="1" t="s">
        <v>176</v>
      </c>
      <c r="L31" s="23">
        <v>6.5</v>
      </c>
      <c r="M31" s="23">
        <v>55.872</v>
      </c>
    </row>
    <row r="32" spans="1:13" x14ac:dyDescent="0.2">
      <c r="A32" s="1" t="s">
        <v>170</v>
      </c>
      <c r="B32" s="1" t="s">
        <v>172</v>
      </c>
      <c r="C32" s="1">
        <v>1991</v>
      </c>
      <c r="D32" s="1" t="s">
        <v>174</v>
      </c>
      <c r="E32" s="1" t="s">
        <v>177</v>
      </c>
      <c r="F32" s="1">
        <v>2001</v>
      </c>
      <c r="G32" s="1" t="s">
        <v>330</v>
      </c>
      <c r="H32" s="1" t="s">
        <v>176</v>
      </c>
      <c r="I32" s="1" t="s">
        <v>176</v>
      </c>
      <c r="J32" s="1" t="s">
        <v>176</v>
      </c>
      <c r="K32" s="1" t="s">
        <v>176</v>
      </c>
      <c r="L32" s="23">
        <v>6.6</v>
      </c>
      <c r="M32" s="23">
        <v>51.9</v>
      </c>
    </row>
    <row r="33" spans="1:13" x14ac:dyDescent="0.2">
      <c r="A33" s="1" t="s">
        <v>170</v>
      </c>
      <c r="B33" s="1" t="s">
        <v>172</v>
      </c>
      <c r="C33" s="1">
        <v>1991</v>
      </c>
      <c r="D33" s="1" t="s">
        <v>174</v>
      </c>
      <c r="E33" s="1" t="s">
        <v>177</v>
      </c>
      <c r="F33" s="1">
        <v>2002</v>
      </c>
      <c r="G33" s="1" t="s">
        <v>330</v>
      </c>
      <c r="H33" s="1" t="s">
        <v>176</v>
      </c>
      <c r="I33" s="1" t="s">
        <v>176</v>
      </c>
      <c r="J33" s="1" t="s">
        <v>176</v>
      </c>
      <c r="K33" s="1" t="s">
        <v>176</v>
      </c>
      <c r="L33" s="23">
        <v>6.7</v>
      </c>
      <c r="M33" s="23">
        <v>48.116999999999997</v>
      </c>
    </row>
    <row r="34" spans="1:13" x14ac:dyDescent="0.2">
      <c r="A34" s="1" t="s">
        <v>170</v>
      </c>
      <c r="B34" s="1" t="s">
        <v>172</v>
      </c>
      <c r="C34" s="1">
        <v>1991</v>
      </c>
      <c r="D34" s="1" t="s">
        <v>174</v>
      </c>
      <c r="E34" s="1" t="s">
        <v>177</v>
      </c>
      <c r="F34" s="1">
        <v>2003</v>
      </c>
      <c r="G34" s="1" t="s">
        <v>330</v>
      </c>
      <c r="H34" s="1" t="s">
        <v>176</v>
      </c>
      <c r="I34" s="1" t="s">
        <v>176</v>
      </c>
      <c r="J34" s="1" t="s">
        <v>176</v>
      </c>
      <c r="K34" s="1" t="s">
        <v>176</v>
      </c>
      <c r="L34" s="23">
        <v>6.75</v>
      </c>
      <c r="M34" s="23">
        <v>44.786000000000001</v>
      </c>
    </row>
    <row r="35" spans="1:13" x14ac:dyDescent="0.2">
      <c r="A35" s="1" t="s">
        <v>170</v>
      </c>
      <c r="B35" s="1" t="s">
        <v>172</v>
      </c>
      <c r="C35" s="1">
        <v>1991</v>
      </c>
      <c r="D35" s="1" t="s">
        <v>174</v>
      </c>
      <c r="E35" s="1" t="s">
        <v>177</v>
      </c>
      <c r="F35" s="1">
        <v>2004</v>
      </c>
      <c r="G35" s="1" t="s">
        <v>330</v>
      </c>
      <c r="H35" s="1" t="s">
        <v>176</v>
      </c>
      <c r="I35" s="1" t="s">
        <v>176</v>
      </c>
      <c r="J35" s="1" t="s">
        <v>176</v>
      </c>
      <c r="K35" s="1" t="s">
        <v>176</v>
      </c>
      <c r="L35" s="23">
        <v>6.8</v>
      </c>
      <c r="M35" s="23">
        <v>41.643999999999998</v>
      </c>
    </row>
    <row r="36" spans="1:13" x14ac:dyDescent="0.2">
      <c r="A36" s="1" t="s">
        <v>170</v>
      </c>
      <c r="B36" s="1" t="s">
        <v>172</v>
      </c>
      <c r="C36" s="1">
        <v>1991</v>
      </c>
      <c r="D36" s="1" t="s">
        <v>174</v>
      </c>
      <c r="E36" s="1" t="s">
        <v>177</v>
      </c>
      <c r="F36" s="1">
        <v>2005</v>
      </c>
      <c r="G36" s="1" t="s">
        <v>330</v>
      </c>
      <c r="H36" s="1" t="s">
        <v>176</v>
      </c>
      <c r="I36" s="1" t="s">
        <v>176</v>
      </c>
      <c r="J36" s="1" t="s">
        <v>176</v>
      </c>
      <c r="K36" s="1" t="s">
        <v>176</v>
      </c>
      <c r="L36" s="23">
        <v>6.85</v>
      </c>
      <c r="M36" s="23">
        <v>38.686</v>
      </c>
    </row>
    <row r="37" spans="1:13" x14ac:dyDescent="0.2">
      <c r="A37" s="1" t="s">
        <v>170</v>
      </c>
      <c r="B37" s="1" t="s">
        <v>172</v>
      </c>
      <c r="C37" s="1">
        <v>1991</v>
      </c>
      <c r="D37" s="1" t="s">
        <v>174</v>
      </c>
      <c r="E37" s="1" t="s">
        <v>177</v>
      </c>
      <c r="F37" s="1">
        <v>2006</v>
      </c>
      <c r="G37" s="1" t="s">
        <v>330</v>
      </c>
      <c r="H37" s="1" t="s">
        <v>176</v>
      </c>
      <c r="I37" s="1" t="s">
        <v>176</v>
      </c>
      <c r="J37" s="1" t="s">
        <v>176</v>
      </c>
      <c r="K37" s="1" t="s">
        <v>176</v>
      </c>
      <c r="L37" s="23">
        <v>6.9</v>
      </c>
      <c r="M37" s="23">
        <v>35.902999999999999</v>
      </c>
    </row>
    <row r="38" spans="1:13" x14ac:dyDescent="0.2">
      <c r="A38" s="1" t="s">
        <v>170</v>
      </c>
      <c r="B38" s="1" t="s">
        <v>172</v>
      </c>
      <c r="C38" s="1">
        <v>1991</v>
      </c>
      <c r="D38" s="1" t="s">
        <v>174</v>
      </c>
      <c r="E38" s="1" t="s">
        <v>177</v>
      </c>
      <c r="F38" s="1">
        <v>2007</v>
      </c>
      <c r="G38" s="1" t="s">
        <v>330</v>
      </c>
      <c r="H38" s="1" t="s">
        <v>176</v>
      </c>
      <c r="I38" s="1" t="s">
        <v>176</v>
      </c>
      <c r="J38" s="1" t="s">
        <v>176</v>
      </c>
      <c r="K38" s="1" t="s">
        <v>176</v>
      </c>
      <c r="L38" s="23">
        <v>6.9</v>
      </c>
      <c r="M38" s="23">
        <v>33.548000000000002</v>
      </c>
    </row>
    <row r="39" spans="1:13" x14ac:dyDescent="0.2">
      <c r="A39" s="1" t="s">
        <v>170</v>
      </c>
      <c r="B39" s="1" t="s">
        <v>172</v>
      </c>
      <c r="C39" s="1">
        <v>1991</v>
      </c>
      <c r="D39" s="1" t="s">
        <v>174</v>
      </c>
      <c r="E39" s="1" t="s">
        <v>177</v>
      </c>
      <c r="F39" s="1">
        <v>2008</v>
      </c>
      <c r="G39" s="1" t="s">
        <v>330</v>
      </c>
      <c r="H39" s="1" t="s">
        <v>176</v>
      </c>
      <c r="I39" s="1" t="s">
        <v>176</v>
      </c>
      <c r="J39" s="1" t="s">
        <v>176</v>
      </c>
      <c r="K39" s="1" t="s">
        <v>176</v>
      </c>
      <c r="L39" s="23">
        <v>6.95</v>
      </c>
      <c r="M39" s="23">
        <v>31.09</v>
      </c>
    </row>
    <row r="40" spans="1:13" x14ac:dyDescent="0.2">
      <c r="A40" s="1" t="s">
        <v>170</v>
      </c>
      <c r="B40" s="1" t="s">
        <v>172</v>
      </c>
      <c r="C40" s="1">
        <v>1991</v>
      </c>
      <c r="D40" s="1" t="s">
        <v>174</v>
      </c>
      <c r="E40" s="1" t="s">
        <v>177</v>
      </c>
      <c r="F40" s="1">
        <v>2009</v>
      </c>
      <c r="G40" s="1" t="s">
        <v>330</v>
      </c>
      <c r="H40" s="1" t="s">
        <v>176</v>
      </c>
      <c r="I40" s="1" t="s">
        <v>176</v>
      </c>
      <c r="J40" s="1" t="s">
        <v>176</v>
      </c>
      <c r="K40" s="1" t="s">
        <v>176</v>
      </c>
      <c r="L40" s="23">
        <v>6.95</v>
      </c>
      <c r="M40" s="23">
        <v>29.036999999999999</v>
      </c>
    </row>
    <row r="41" spans="1:13" x14ac:dyDescent="0.2">
      <c r="A41" s="1" t="s">
        <v>170</v>
      </c>
      <c r="B41" s="1" t="s">
        <v>172</v>
      </c>
      <c r="C41" s="1">
        <v>1991</v>
      </c>
      <c r="D41" s="1" t="s">
        <v>174</v>
      </c>
      <c r="E41" s="1" t="s">
        <v>177</v>
      </c>
      <c r="F41" s="1">
        <v>2010</v>
      </c>
      <c r="G41" s="1" t="s">
        <v>330</v>
      </c>
      <c r="H41" s="1" t="s">
        <v>176</v>
      </c>
      <c r="I41" s="1" t="s">
        <v>176</v>
      </c>
      <c r="J41" s="1" t="s">
        <v>176</v>
      </c>
      <c r="K41" s="1" t="s">
        <v>176</v>
      </c>
      <c r="L41" s="23">
        <v>7</v>
      </c>
      <c r="M41" s="23">
        <v>26.87</v>
      </c>
    </row>
    <row r="42" spans="1:13" x14ac:dyDescent="0.2">
      <c r="A42" s="1" t="s">
        <v>170</v>
      </c>
      <c r="B42" s="1" t="s">
        <v>172</v>
      </c>
      <c r="C42" s="1">
        <v>1991</v>
      </c>
      <c r="D42" s="1" t="s">
        <v>174</v>
      </c>
      <c r="E42" s="1" t="s">
        <v>177</v>
      </c>
      <c r="F42" s="1">
        <v>2011</v>
      </c>
      <c r="G42" s="1" t="s">
        <v>330</v>
      </c>
      <c r="H42" s="1" t="s">
        <v>176</v>
      </c>
      <c r="I42" s="1" t="s">
        <v>176</v>
      </c>
      <c r="J42" s="1" t="s">
        <v>176</v>
      </c>
      <c r="K42" s="1" t="s">
        <v>176</v>
      </c>
      <c r="L42" s="23">
        <v>7</v>
      </c>
      <c r="M42" s="23">
        <v>25.084</v>
      </c>
    </row>
    <row r="43" spans="1:13" x14ac:dyDescent="0.2">
      <c r="A43" s="1" t="s">
        <v>170</v>
      </c>
      <c r="B43" s="1" t="s">
        <v>172</v>
      </c>
      <c r="C43" s="1">
        <v>1991</v>
      </c>
      <c r="D43" s="1" t="s">
        <v>174</v>
      </c>
      <c r="E43" s="1" t="s">
        <v>177</v>
      </c>
      <c r="F43" s="1">
        <v>2012</v>
      </c>
      <c r="G43" s="1" t="s">
        <v>330</v>
      </c>
      <c r="H43" s="1" t="s">
        <v>176</v>
      </c>
      <c r="I43" s="1" t="s">
        <v>176</v>
      </c>
      <c r="J43" s="1" t="s">
        <v>176</v>
      </c>
      <c r="K43" s="1" t="s">
        <v>176</v>
      </c>
      <c r="L43" s="23">
        <v>7</v>
      </c>
      <c r="M43" s="23">
        <v>23.416</v>
      </c>
    </row>
    <row r="44" spans="1:13" x14ac:dyDescent="0.2">
      <c r="A44" s="1" t="s">
        <v>170</v>
      </c>
      <c r="B44" s="1" t="s">
        <v>172</v>
      </c>
      <c r="C44" s="1">
        <v>1991</v>
      </c>
      <c r="D44" s="1" t="s">
        <v>174</v>
      </c>
      <c r="E44" s="1" t="s">
        <v>177</v>
      </c>
      <c r="F44" s="1">
        <v>2013</v>
      </c>
      <c r="G44" s="1" t="s">
        <v>330</v>
      </c>
      <c r="H44" s="1" t="s">
        <v>176</v>
      </c>
      <c r="I44" s="1" t="s">
        <v>176</v>
      </c>
      <c r="J44" s="1" t="s">
        <v>176</v>
      </c>
      <c r="K44" s="1" t="s">
        <v>176</v>
      </c>
      <c r="L44" s="23">
        <v>7</v>
      </c>
      <c r="M44" s="23">
        <v>21.859000000000002</v>
      </c>
    </row>
    <row r="45" spans="1:13" x14ac:dyDescent="0.2">
      <c r="A45" s="1" t="s">
        <v>170</v>
      </c>
      <c r="B45" s="1" t="s">
        <v>172</v>
      </c>
      <c r="C45" s="1">
        <v>1991</v>
      </c>
      <c r="D45" s="1" t="s">
        <v>174</v>
      </c>
      <c r="E45" s="1" t="s">
        <v>177</v>
      </c>
      <c r="F45" s="1">
        <v>2014</v>
      </c>
      <c r="G45" s="1" t="s">
        <v>330</v>
      </c>
      <c r="H45" s="1" t="s">
        <v>176</v>
      </c>
      <c r="I45" s="1" t="s">
        <v>176</v>
      </c>
      <c r="J45" s="1" t="s">
        <v>176</v>
      </c>
      <c r="K45" s="1" t="s">
        <v>176</v>
      </c>
      <c r="L45" s="23">
        <v>7</v>
      </c>
      <c r="M45" s="23">
        <v>20.405000000000001</v>
      </c>
    </row>
    <row r="46" spans="1:13" x14ac:dyDescent="0.2">
      <c r="A46" s="1" t="s">
        <v>170</v>
      </c>
      <c r="B46" s="1" t="s">
        <v>172</v>
      </c>
      <c r="C46" s="1">
        <v>1991</v>
      </c>
      <c r="D46" s="1" t="s">
        <v>174</v>
      </c>
      <c r="E46" s="1" t="s">
        <v>177</v>
      </c>
      <c r="F46" s="1">
        <v>2015</v>
      </c>
      <c r="G46" s="1" t="s">
        <v>330</v>
      </c>
      <c r="H46" s="1" t="s">
        <v>176</v>
      </c>
      <c r="I46" s="1" t="s">
        <v>176</v>
      </c>
      <c r="J46" s="1" t="s">
        <v>176</v>
      </c>
      <c r="K46" s="1" t="s">
        <v>176</v>
      </c>
      <c r="L46" s="23">
        <v>7</v>
      </c>
      <c r="M46" s="23">
        <v>19.048999999999999</v>
      </c>
    </row>
    <row r="47" spans="1:13" x14ac:dyDescent="0.2">
      <c r="A47" s="1" t="s">
        <v>170</v>
      </c>
      <c r="B47" s="1" t="s">
        <v>172</v>
      </c>
      <c r="C47" s="1">
        <v>1991</v>
      </c>
      <c r="D47" s="1" t="s">
        <v>174</v>
      </c>
      <c r="E47" s="1" t="s">
        <v>177</v>
      </c>
      <c r="F47" s="1">
        <v>2016</v>
      </c>
      <c r="G47" s="1" t="s">
        <v>330</v>
      </c>
      <c r="H47" s="1" t="s">
        <v>176</v>
      </c>
      <c r="I47" s="1" t="s">
        <v>176</v>
      </c>
      <c r="J47" s="1" t="s">
        <v>176</v>
      </c>
      <c r="K47" s="1" t="s">
        <v>176</v>
      </c>
      <c r="L47" s="23">
        <v>7</v>
      </c>
      <c r="M47" s="23">
        <v>17.782</v>
      </c>
    </row>
    <row r="48" spans="1:13" x14ac:dyDescent="0.2">
      <c r="A48" s="1" t="s">
        <v>170</v>
      </c>
      <c r="B48" s="1" t="s">
        <v>172</v>
      </c>
      <c r="C48" s="1">
        <v>1991</v>
      </c>
      <c r="D48" s="1" t="s">
        <v>174</v>
      </c>
      <c r="E48" s="1" t="s">
        <v>177</v>
      </c>
      <c r="F48" s="1">
        <v>2017</v>
      </c>
      <c r="G48" s="1" t="s">
        <v>330</v>
      </c>
      <c r="H48" s="1" t="s">
        <v>176</v>
      </c>
      <c r="I48" s="1" t="s">
        <v>176</v>
      </c>
      <c r="J48" s="1" t="s">
        <v>176</v>
      </c>
      <c r="K48" s="1" t="s">
        <v>176</v>
      </c>
      <c r="L48" s="23">
        <v>7.05</v>
      </c>
      <c r="M48" s="23">
        <v>16.391999999999999</v>
      </c>
    </row>
    <row r="49" spans="1:13" x14ac:dyDescent="0.2">
      <c r="A49" s="1" t="s">
        <v>170</v>
      </c>
      <c r="B49" s="1" t="s">
        <v>172</v>
      </c>
      <c r="C49" s="1">
        <v>1991</v>
      </c>
      <c r="D49" s="1" t="s">
        <v>174</v>
      </c>
      <c r="E49" s="1" t="s">
        <v>177</v>
      </c>
      <c r="F49" s="1">
        <v>2018</v>
      </c>
      <c r="G49" s="1" t="s">
        <v>330</v>
      </c>
      <c r="H49" s="1" t="s">
        <v>176</v>
      </c>
      <c r="I49" s="1" t="s">
        <v>176</v>
      </c>
      <c r="J49" s="1" t="s">
        <v>176</v>
      </c>
      <c r="K49" s="1" t="s">
        <v>176</v>
      </c>
      <c r="L49" s="23">
        <v>7.05</v>
      </c>
      <c r="M49" s="23">
        <v>15.294</v>
      </c>
    </row>
    <row r="50" spans="1:13" x14ac:dyDescent="0.2">
      <c r="A50" s="1" t="s">
        <v>170</v>
      </c>
      <c r="B50" s="1" t="s">
        <v>172</v>
      </c>
      <c r="C50" s="1">
        <v>1991</v>
      </c>
      <c r="D50" s="1" t="s">
        <v>174</v>
      </c>
      <c r="E50" s="1" t="s">
        <v>177</v>
      </c>
      <c r="F50" s="1">
        <v>2019</v>
      </c>
      <c r="G50" s="1" t="s">
        <v>330</v>
      </c>
      <c r="H50" s="1" t="s">
        <v>176</v>
      </c>
      <c r="I50" s="1" t="s">
        <v>176</v>
      </c>
      <c r="J50" s="1" t="s">
        <v>176</v>
      </c>
      <c r="K50" s="1" t="s">
        <v>176</v>
      </c>
      <c r="L50" s="23">
        <v>7.05</v>
      </c>
      <c r="M50" s="23">
        <v>14.271000000000001</v>
      </c>
    </row>
    <row r="51" spans="1:13" x14ac:dyDescent="0.2">
      <c r="A51" s="1" t="s">
        <v>170</v>
      </c>
      <c r="B51" s="1" t="s">
        <v>172</v>
      </c>
      <c r="C51" s="1">
        <v>1991</v>
      </c>
      <c r="D51" s="1" t="s">
        <v>174</v>
      </c>
      <c r="E51" s="1" t="s">
        <v>177</v>
      </c>
      <c r="F51" s="1">
        <v>2020</v>
      </c>
      <c r="G51" s="1" t="s">
        <v>330</v>
      </c>
      <c r="H51" s="1" t="s">
        <v>176</v>
      </c>
      <c r="I51" s="1" t="s">
        <v>176</v>
      </c>
      <c r="J51" s="1" t="s">
        <v>176</v>
      </c>
      <c r="K51" s="1" t="s">
        <v>176</v>
      </c>
      <c r="L51" s="23">
        <v>7.05</v>
      </c>
      <c r="M51" s="23">
        <v>13.315</v>
      </c>
    </row>
    <row r="52" spans="1:13" x14ac:dyDescent="0.2">
      <c r="A52" s="1" t="s">
        <v>170</v>
      </c>
      <c r="B52" s="1" t="s">
        <v>172</v>
      </c>
      <c r="C52" s="1">
        <v>1991</v>
      </c>
      <c r="D52" s="1" t="s">
        <v>174</v>
      </c>
      <c r="E52" s="1" t="s">
        <v>177</v>
      </c>
      <c r="F52" s="1">
        <v>2021</v>
      </c>
      <c r="G52" s="1" t="s">
        <v>330</v>
      </c>
      <c r="H52" s="1" t="s">
        <v>176</v>
      </c>
      <c r="I52" s="1" t="s">
        <v>176</v>
      </c>
      <c r="J52" s="1">
        <v>0</v>
      </c>
      <c r="K52" s="1" t="s">
        <v>176</v>
      </c>
      <c r="L52" s="23">
        <v>7.05</v>
      </c>
      <c r="M52" s="23">
        <v>12.423999999999999</v>
      </c>
    </row>
    <row r="53" spans="1:13" x14ac:dyDescent="0.2">
      <c r="A53" s="1" t="s">
        <v>170</v>
      </c>
      <c r="B53" s="1" t="s">
        <v>172</v>
      </c>
      <c r="C53" s="1">
        <v>1995</v>
      </c>
      <c r="D53" s="1" t="s">
        <v>174</v>
      </c>
      <c r="E53" s="1" t="s">
        <v>177</v>
      </c>
      <c r="F53" s="1">
        <v>1995</v>
      </c>
      <c r="G53" s="1" t="s">
        <v>331</v>
      </c>
      <c r="H53" s="1">
        <v>0</v>
      </c>
      <c r="I53" s="1" t="s">
        <v>176</v>
      </c>
      <c r="J53" s="1">
        <v>13565000</v>
      </c>
      <c r="K53" s="1">
        <v>356041</v>
      </c>
      <c r="L53" s="23" t="s">
        <v>176</v>
      </c>
      <c r="M53" s="23" t="s">
        <v>176</v>
      </c>
    </row>
    <row r="54" spans="1:13" x14ac:dyDescent="0.2">
      <c r="A54" s="1" t="s">
        <v>170</v>
      </c>
      <c r="B54" s="1" t="s">
        <v>172</v>
      </c>
      <c r="C54" s="1">
        <v>1995</v>
      </c>
      <c r="D54" s="1" t="s">
        <v>174</v>
      </c>
      <c r="E54" s="1" t="s">
        <v>177</v>
      </c>
      <c r="F54" s="1">
        <v>1996</v>
      </c>
      <c r="G54" s="1" t="s">
        <v>331</v>
      </c>
      <c r="H54" s="1">
        <v>185000</v>
      </c>
      <c r="I54" s="1">
        <v>4.0999999999999996</v>
      </c>
      <c r="J54" s="1">
        <f>J53-H54</f>
        <v>13380000</v>
      </c>
      <c r="K54" s="1">
        <v>712083</v>
      </c>
      <c r="L54" s="23">
        <v>4.0999999999999996</v>
      </c>
      <c r="M54" s="23">
        <v>100</v>
      </c>
    </row>
    <row r="55" spans="1:13" x14ac:dyDescent="0.2">
      <c r="A55" s="1" t="s">
        <v>170</v>
      </c>
      <c r="B55" s="1" t="s">
        <v>172</v>
      </c>
      <c r="C55" s="1">
        <v>1995</v>
      </c>
      <c r="D55" s="1" t="s">
        <v>174</v>
      </c>
      <c r="E55" s="1" t="s">
        <v>177</v>
      </c>
      <c r="F55" s="1">
        <v>1997</v>
      </c>
      <c r="G55" s="1" t="s">
        <v>331</v>
      </c>
      <c r="H55" s="1">
        <v>195000</v>
      </c>
      <c r="I55" s="1">
        <v>4.25</v>
      </c>
      <c r="J55" s="1">
        <f t="shared" ref="J55:J120" si="2">J54-H55</f>
        <v>13185000</v>
      </c>
      <c r="K55" s="1">
        <v>704497</v>
      </c>
      <c r="L55" s="23">
        <v>4.25</v>
      </c>
      <c r="M55" s="23">
        <v>100</v>
      </c>
    </row>
    <row r="56" spans="1:13" x14ac:dyDescent="0.2">
      <c r="A56" s="1" t="s">
        <v>170</v>
      </c>
      <c r="B56" s="1" t="s">
        <v>172</v>
      </c>
      <c r="C56" s="1">
        <v>1995</v>
      </c>
      <c r="D56" s="1" t="s">
        <v>174</v>
      </c>
      <c r="E56" s="1" t="s">
        <v>177</v>
      </c>
      <c r="F56" s="1">
        <v>1998</v>
      </c>
      <c r="G56" s="1" t="s">
        <v>331</v>
      </c>
      <c r="H56" s="1">
        <v>470000</v>
      </c>
      <c r="I56" s="1">
        <v>4.3499999999999996</v>
      </c>
      <c r="J56" s="1">
        <f t="shared" si="2"/>
        <v>12715000</v>
      </c>
      <c r="K56" s="1">
        <v>696210</v>
      </c>
      <c r="L56" s="23">
        <v>4.3499999999999996</v>
      </c>
      <c r="M56" s="23">
        <v>100</v>
      </c>
    </row>
    <row r="57" spans="1:13" x14ac:dyDescent="0.2">
      <c r="A57" s="1" t="s">
        <v>170</v>
      </c>
      <c r="B57" s="1" t="s">
        <v>172</v>
      </c>
      <c r="C57" s="1">
        <v>1995</v>
      </c>
      <c r="D57" s="1" t="s">
        <v>174</v>
      </c>
      <c r="E57" s="1" t="s">
        <v>177</v>
      </c>
      <c r="F57" s="1">
        <v>1999</v>
      </c>
      <c r="G57" s="1" t="s">
        <v>331</v>
      </c>
      <c r="H57" s="1">
        <v>490000</v>
      </c>
      <c r="I57" s="1">
        <v>4.45</v>
      </c>
      <c r="J57" s="1">
        <f t="shared" si="2"/>
        <v>12225000</v>
      </c>
      <c r="K57" s="1">
        <v>675765</v>
      </c>
      <c r="L57" s="23">
        <v>4.45</v>
      </c>
      <c r="M57" s="23">
        <v>100</v>
      </c>
    </row>
    <row r="58" spans="1:13" x14ac:dyDescent="0.2">
      <c r="A58" s="1" t="s">
        <v>170</v>
      </c>
      <c r="B58" s="1" t="s">
        <v>172</v>
      </c>
      <c r="C58" s="1">
        <v>1995</v>
      </c>
      <c r="D58" s="1" t="s">
        <v>174</v>
      </c>
      <c r="E58" s="1" t="s">
        <v>177</v>
      </c>
      <c r="F58" s="1">
        <v>2000</v>
      </c>
      <c r="G58" s="1" t="s">
        <v>331</v>
      </c>
      <c r="H58" s="1">
        <v>515000</v>
      </c>
      <c r="I58" s="1">
        <v>4.55</v>
      </c>
      <c r="J58" s="1">
        <f t="shared" si="2"/>
        <v>11710000</v>
      </c>
      <c r="K58" s="1">
        <v>653960</v>
      </c>
      <c r="L58" s="23">
        <v>4.55</v>
      </c>
      <c r="M58" s="23">
        <v>100</v>
      </c>
    </row>
    <row r="59" spans="1:13" x14ac:dyDescent="0.2">
      <c r="A59" s="1" t="s">
        <v>170</v>
      </c>
      <c r="B59" s="1" t="s">
        <v>172</v>
      </c>
      <c r="C59" s="1">
        <v>1995</v>
      </c>
      <c r="D59" s="1" t="s">
        <v>174</v>
      </c>
      <c r="E59" s="1" t="s">
        <v>177</v>
      </c>
      <c r="F59" s="1">
        <v>2001</v>
      </c>
      <c r="G59" s="1" t="s">
        <v>331</v>
      </c>
      <c r="H59" s="1">
        <v>540000</v>
      </c>
      <c r="I59" s="1">
        <v>4.7</v>
      </c>
      <c r="J59" s="1">
        <f t="shared" si="2"/>
        <v>11170000</v>
      </c>
      <c r="K59" s="1">
        <v>630528</v>
      </c>
      <c r="L59" s="23">
        <v>4.7</v>
      </c>
      <c r="M59" s="23">
        <v>100</v>
      </c>
    </row>
    <row r="60" spans="1:13" x14ac:dyDescent="0.2">
      <c r="A60" s="1" t="s">
        <v>170</v>
      </c>
      <c r="B60" s="1" t="s">
        <v>172</v>
      </c>
      <c r="C60" s="1">
        <v>1995</v>
      </c>
      <c r="D60" s="1" t="s">
        <v>174</v>
      </c>
      <c r="E60" s="1" t="s">
        <v>177</v>
      </c>
      <c r="F60" s="1">
        <v>2002</v>
      </c>
      <c r="G60" s="1" t="s">
        <v>331</v>
      </c>
      <c r="H60" s="1">
        <v>565000</v>
      </c>
      <c r="I60" s="1">
        <v>4.8</v>
      </c>
      <c r="J60" s="1">
        <f t="shared" si="2"/>
        <v>10605000</v>
      </c>
      <c r="K60" s="1">
        <v>605147</v>
      </c>
      <c r="L60" s="23">
        <v>4.8</v>
      </c>
      <c r="M60" s="23">
        <v>100</v>
      </c>
    </row>
    <row r="61" spans="1:13" x14ac:dyDescent="0.2">
      <c r="A61" s="1" t="s">
        <v>170</v>
      </c>
      <c r="B61" s="1" t="s">
        <v>172</v>
      </c>
      <c r="C61" s="1">
        <v>1995</v>
      </c>
      <c r="D61" s="1" t="s">
        <v>174</v>
      </c>
      <c r="E61" s="1" t="s">
        <v>177</v>
      </c>
      <c r="F61" s="1">
        <v>2003</v>
      </c>
      <c r="G61" s="1" t="s">
        <v>331</v>
      </c>
      <c r="H61" s="1">
        <v>590000</v>
      </c>
      <c r="I61" s="1">
        <v>4.9000000000000004</v>
      </c>
      <c r="J61" s="1">
        <f t="shared" si="2"/>
        <v>10015000</v>
      </c>
      <c r="K61" s="1">
        <v>578028</v>
      </c>
      <c r="L61" s="23">
        <v>4.9000000000000004</v>
      </c>
      <c r="M61" s="23">
        <v>100</v>
      </c>
    </row>
    <row r="62" spans="1:13" x14ac:dyDescent="0.2">
      <c r="A62" s="1" t="s">
        <v>170</v>
      </c>
      <c r="B62" s="1" t="s">
        <v>172</v>
      </c>
      <c r="C62" s="1">
        <v>1995</v>
      </c>
      <c r="D62" s="1" t="s">
        <v>174</v>
      </c>
      <c r="E62" s="1" t="s">
        <v>177</v>
      </c>
      <c r="F62" s="1">
        <v>2004</v>
      </c>
      <c r="G62" s="1" t="s">
        <v>331</v>
      </c>
      <c r="H62" s="1">
        <v>620000</v>
      </c>
      <c r="I62" s="1">
        <v>5</v>
      </c>
      <c r="J62" s="1">
        <f t="shared" si="2"/>
        <v>9395000</v>
      </c>
      <c r="K62" s="1">
        <v>549117</v>
      </c>
      <c r="L62" s="23">
        <v>5</v>
      </c>
      <c r="M62" s="23">
        <v>100</v>
      </c>
    </row>
    <row r="63" spans="1:13" x14ac:dyDescent="0.2">
      <c r="A63" s="1" t="s">
        <v>170</v>
      </c>
      <c r="B63" s="1" t="s">
        <v>172</v>
      </c>
      <c r="C63" s="1">
        <v>1995</v>
      </c>
      <c r="D63" s="1" t="s">
        <v>174</v>
      </c>
      <c r="E63" s="1" t="s">
        <v>177</v>
      </c>
      <c r="F63" s="1">
        <v>2005</v>
      </c>
      <c r="G63" s="1" t="s">
        <v>331</v>
      </c>
      <c r="H63" s="1">
        <v>650000</v>
      </c>
      <c r="I63" s="1">
        <v>5</v>
      </c>
      <c r="J63" s="1">
        <f t="shared" si="2"/>
        <v>8745000</v>
      </c>
      <c r="K63" s="1">
        <v>518118</v>
      </c>
      <c r="M63" s="23" t="s">
        <v>176</v>
      </c>
    </row>
    <row r="64" spans="1:13" x14ac:dyDescent="0.2">
      <c r="A64" s="1" t="s">
        <v>170</v>
      </c>
      <c r="B64" s="1" t="s">
        <v>172</v>
      </c>
      <c r="C64" s="1">
        <v>1995</v>
      </c>
      <c r="D64" s="1" t="s">
        <v>174</v>
      </c>
      <c r="E64" s="1" t="s">
        <v>177</v>
      </c>
      <c r="F64" s="1">
        <v>2006</v>
      </c>
      <c r="G64" s="1" t="s">
        <v>331</v>
      </c>
      <c r="H64" s="1">
        <v>680000</v>
      </c>
      <c r="I64" s="1">
        <v>5.15</v>
      </c>
      <c r="J64" s="1">
        <f t="shared" si="2"/>
        <v>8065000</v>
      </c>
      <c r="K64" s="1">
        <v>485617</v>
      </c>
      <c r="M64" s="23" t="s">
        <v>176</v>
      </c>
    </row>
    <row r="65" spans="1:13" x14ac:dyDescent="0.2">
      <c r="A65" s="1" t="s">
        <v>170</v>
      </c>
      <c r="B65" s="1" t="s">
        <v>172</v>
      </c>
      <c r="C65" s="1">
        <v>1995</v>
      </c>
      <c r="D65" s="1" t="s">
        <v>174</v>
      </c>
      <c r="E65" s="1" t="s">
        <v>177</v>
      </c>
      <c r="F65" s="1">
        <v>2007</v>
      </c>
      <c r="G65" s="1" t="s">
        <v>331</v>
      </c>
      <c r="H65" s="1">
        <v>715000</v>
      </c>
      <c r="I65" s="1">
        <v>5.25</v>
      </c>
      <c r="J65" s="1">
        <f t="shared" si="2"/>
        <v>7350000</v>
      </c>
      <c r="K65" s="1">
        <v>450598</v>
      </c>
      <c r="M65" s="23" t="s">
        <v>176</v>
      </c>
    </row>
    <row r="66" spans="1:13" x14ac:dyDescent="0.2">
      <c r="A66" s="1" t="s">
        <v>170</v>
      </c>
      <c r="B66" s="1" t="s">
        <v>172</v>
      </c>
      <c r="C66" s="1">
        <v>1995</v>
      </c>
      <c r="D66" s="1" t="s">
        <v>174</v>
      </c>
      <c r="E66" s="1" t="s">
        <v>177</v>
      </c>
      <c r="F66" s="1">
        <v>2008</v>
      </c>
      <c r="G66" s="1" t="s">
        <v>331</v>
      </c>
      <c r="H66" s="1">
        <v>755000</v>
      </c>
      <c r="I66" s="1">
        <v>5.35</v>
      </c>
      <c r="J66" s="1">
        <f t="shared" si="2"/>
        <v>6595000</v>
      </c>
      <c r="K66" s="1">
        <v>413060</v>
      </c>
      <c r="M66" s="23" t="s">
        <v>176</v>
      </c>
    </row>
    <row r="67" spans="1:13" x14ac:dyDescent="0.2">
      <c r="A67" s="1" t="s">
        <v>170</v>
      </c>
      <c r="B67" s="1" t="s">
        <v>172</v>
      </c>
      <c r="C67" s="1">
        <v>1995</v>
      </c>
      <c r="D67" s="1" t="s">
        <v>174</v>
      </c>
      <c r="E67" s="1" t="s">
        <v>177</v>
      </c>
      <c r="F67" s="1">
        <v>2009</v>
      </c>
      <c r="G67" s="1" t="s">
        <v>331</v>
      </c>
      <c r="H67" s="1">
        <v>795000</v>
      </c>
      <c r="I67" s="1">
        <v>5.45</v>
      </c>
      <c r="J67" s="1">
        <f t="shared" si="2"/>
        <v>5800000</v>
      </c>
      <c r="K67" s="1">
        <v>372668</v>
      </c>
      <c r="M67" s="23" t="s">
        <v>176</v>
      </c>
    </row>
    <row r="68" spans="1:13" x14ac:dyDescent="0.2">
      <c r="A68" s="1" t="s">
        <v>170</v>
      </c>
      <c r="B68" s="1" t="s">
        <v>172</v>
      </c>
      <c r="C68" s="1">
        <v>1995</v>
      </c>
      <c r="D68" s="1" t="s">
        <v>174</v>
      </c>
      <c r="E68" s="1" t="s">
        <v>177</v>
      </c>
      <c r="F68" s="1">
        <v>2010</v>
      </c>
      <c r="G68" s="1" t="s">
        <v>331</v>
      </c>
      <c r="H68" s="1">
        <v>840000</v>
      </c>
      <c r="I68" s="1">
        <v>5.55</v>
      </c>
      <c r="J68" s="1">
        <f t="shared" si="2"/>
        <v>4960000</v>
      </c>
      <c r="K68" s="1">
        <v>329340</v>
      </c>
      <c r="M68" s="23" t="s">
        <v>176</v>
      </c>
    </row>
    <row r="69" spans="1:13" x14ac:dyDescent="0.2">
      <c r="A69" s="1" t="s">
        <v>170</v>
      </c>
      <c r="B69" s="1" t="s">
        <v>172</v>
      </c>
      <c r="C69" s="1">
        <v>1995</v>
      </c>
      <c r="D69" s="1" t="s">
        <v>174</v>
      </c>
      <c r="E69" s="1" t="s">
        <v>178</v>
      </c>
      <c r="F69" s="1">
        <v>2011</v>
      </c>
      <c r="G69" s="1" t="s">
        <v>331</v>
      </c>
      <c r="H69" s="1">
        <v>885000</v>
      </c>
      <c r="I69" s="1">
        <v>5.7</v>
      </c>
      <c r="J69" s="1">
        <f t="shared" si="2"/>
        <v>4075000</v>
      </c>
      <c r="K69" s="1">
        <v>282720</v>
      </c>
      <c r="L69" s="23">
        <v>5.8</v>
      </c>
      <c r="M69" s="23">
        <v>98.808999999999997</v>
      </c>
    </row>
    <row r="70" spans="1:13" x14ac:dyDescent="0.2">
      <c r="A70" s="1" t="s">
        <v>170</v>
      </c>
      <c r="B70" s="1" t="s">
        <v>172</v>
      </c>
      <c r="C70" s="1">
        <v>1995</v>
      </c>
      <c r="D70" s="1" t="s">
        <v>174</v>
      </c>
      <c r="E70" s="1" t="s">
        <v>178</v>
      </c>
      <c r="F70" s="1">
        <v>2012</v>
      </c>
      <c r="G70" s="1" t="s">
        <v>331</v>
      </c>
      <c r="H70" s="1">
        <v>935000</v>
      </c>
      <c r="I70" s="1">
        <v>5.7</v>
      </c>
      <c r="J70" s="1">
        <f t="shared" si="2"/>
        <v>3140000</v>
      </c>
      <c r="K70" s="1">
        <v>232275</v>
      </c>
      <c r="L70" s="23">
        <v>5.8</v>
      </c>
      <c r="M70" s="23">
        <v>98.808999999999997</v>
      </c>
    </row>
    <row r="71" spans="1:13" x14ac:dyDescent="0.2">
      <c r="A71" s="1" t="s">
        <v>170</v>
      </c>
      <c r="B71" s="1" t="s">
        <v>172</v>
      </c>
      <c r="C71" s="1">
        <v>1995</v>
      </c>
      <c r="D71" s="1" t="s">
        <v>174</v>
      </c>
      <c r="E71" s="1" t="s">
        <v>178</v>
      </c>
      <c r="F71" s="1">
        <v>2013</v>
      </c>
      <c r="G71" s="1" t="s">
        <v>331</v>
      </c>
      <c r="H71" s="1">
        <v>990000</v>
      </c>
      <c r="I71" s="1">
        <v>5.7</v>
      </c>
      <c r="J71" s="1">
        <f t="shared" si="2"/>
        <v>2150000</v>
      </c>
      <c r="K71" s="1">
        <v>178980</v>
      </c>
      <c r="L71" s="23">
        <v>5.8</v>
      </c>
      <c r="M71" s="23">
        <v>98.808999999999997</v>
      </c>
    </row>
    <row r="72" spans="1:13" x14ac:dyDescent="0.2">
      <c r="A72" s="1" t="s">
        <v>170</v>
      </c>
      <c r="B72" s="1" t="s">
        <v>172</v>
      </c>
      <c r="C72" s="1">
        <v>1995</v>
      </c>
      <c r="D72" s="1" t="s">
        <v>174</v>
      </c>
      <c r="E72" s="1" t="s">
        <v>178</v>
      </c>
      <c r="F72" s="1">
        <v>2014</v>
      </c>
      <c r="G72" s="1" t="s">
        <v>331</v>
      </c>
      <c r="H72" s="1">
        <v>1045000</v>
      </c>
      <c r="I72" s="1">
        <v>5.7</v>
      </c>
      <c r="J72" s="1">
        <f t="shared" si="2"/>
        <v>1105000</v>
      </c>
      <c r="K72" s="1">
        <v>122550</v>
      </c>
      <c r="L72" s="23">
        <v>5.8</v>
      </c>
      <c r="M72" s="23">
        <v>98.808999999999997</v>
      </c>
    </row>
    <row r="73" spans="1:13" x14ac:dyDescent="0.2">
      <c r="A73" s="1" t="s">
        <v>170</v>
      </c>
      <c r="B73" s="1" t="s">
        <v>172</v>
      </c>
      <c r="C73" s="1">
        <v>1995</v>
      </c>
      <c r="D73" s="1" t="s">
        <v>174</v>
      </c>
      <c r="E73" s="1" t="s">
        <v>178</v>
      </c>
      <c r="F73" s="1">
        <v>2015</v>
      </c>
      <c r="G73" s="1" t="s">
        <v>331</v>
      </c>
      <c r="H73" s="1">
        <v>1105000</v>
      </c>
      <c r="I73" s="1">
        <v>5.7</v>
      </c>
      <c r="J73" s="1">
        <f t="shared" si="2"/>
        <v>0</v>
      </c>
      <c r="K73" s="1">
        <v>62985</v>
      </c>
      <c r="L73" s="23">
        <v>5.8</v>
      </c>
      <c r="M73" s="23">
        <v>98.808999999999997</v>
      </c>
    </row>
    <row r="74" spans="1:13" x14ac:dyDescent="0.2">
      <c r="A74" s="1" t="s">
        <v>170</v>
      </c>
      <c r="B74" s="1" t="s">
        <v>172</v>
      </c>
      <c r="C74" s="1">
        <v>1996</v>
      </c>
      <c r="D74" s="1" t="s">
        <v>174</v>
      </c>
      <c r="E74" s="1" t="s">
        <v>177</v>
      </c>
      <c r="F74" s="1">
        <v>1996</v>
      </c>
      <c r="G74" s="1" t="s">
        <v>330</v>
      </c>
      <c r="I74" s="1" t="s">
        <v>176</v>
      </c>
      <c r="J74" s="1">
        <v>25915000</v>
      </c>
      <c r="K74" s="1" t="s">
        <v>176</v>
      </c>
      <c r="L74" s="23" t="s">
        <v>176</v>
      </c>
      <c r="M74" s="23" t="s">
        <v>176</v>
      </c>
    </row>
    <row r="75" spans="1:13" x14ac:dyDescent="0.2">
      <c r="A75" s="1" t="s">
        <v>170</v>
      </c>
      <c r="B75" s="1" t="s">
        <v>172</v>
      </c>
      <c r="C75" s="1">
        <v>1996</v>
      </c>
      <c r="D75" s="1" t="s">
        <v>174</v>
      </c>
      <c r="E75" s="1" t="s">
        <v>177</v>
      </c>
      <c r="F75" s="1">
        <v>1997</v>
      </c>
      <c r="G75" s="1" t="s">
        <v>330</v>
      </c>
      <c r="H75" s="1">
        <v>1325000</v>
      </c>
      <c r="I75" s="1">
        <v>4</v>
      </c>
      <c r="J75" s="1">
        <f t="shared" si="2"/>
        <v>24590000</v>
      </c>
      <c r="K75" s="1">
        <v>1074987</v>
      </c>
      <c r="L75" s="23">
        <v>3.65</v>
      </c>
      <c r="M75" s="23" t="s">
        <v>176</v>
      </c>
    </row>
    <row r="76" spans="1:13" x14ac:dyDescent="0.2">
      <c r="A76" s="1" t="s">
        <v>170</v>
      </c>
      <c r="B76" s="1" t="s">
        <v>172</v>
      </c>
      <c r="C76" s="1">
        <v>1996</v>
      </c>
      <c r="D76" s="1" t="s">
        <v>174</v>
      </c>
      <c r="E76" s="1" t="s">
        <v>177</v>
      </c>
      <c r="F76" s="1">
        <v>1998</v>
      </c>
      <c r="G76" s="1" t="s">
        <v>330</v>
      </c>
      <c r="H76" s="1">
        <v>1160000</v>
      </c>
      <c r="I76" s="1">
        <v>4</v>
      </c>
      <c r="J76" s="1">
        <f t="shared" si="2"/>
        <v>23430000</v>
      </c>
      <c r="K76" s="1">
        <v>1292909</v>
      </c>
      <c r="L76" s="23">
        <v>4</v>
      </c>
      <c r="M76" s="23">
        <v>100</v>
      </c>
    </row>
    <row r="77" spans="1:13" x14ac:dyDescent="0.2">
      <c r="A77" s="1" t="s">
        <v>170</v>
      </c>
      <c r="B77" s="1" t="s">
        <v>172</v>
      </c>
      <c r="C77" s="1">
        <v>1996</v>
      </c>
      <c r="D77" s="1" t="s">
        <v>174</v>
      </c>
      <c r="E77" s="1" t="s">
        <v>177</v>
      </c>
      <c r="F77" s="1">
        <v>1999</v>
      </c>
      <c r="G77" s="1" t="s">
        <v>330</v>
      </c>
      <c r="H77" s="1">
        <v>615000</v>
      </c>
      <c r="I77" s="1">
        <v>4.2</v>
      </c>
      <c r="J77" s="1">
        <f t="shared" si="2"/>
        <v>22815000</v>
      </c>
      <c r="K77" s="1">
        <v>1836509</v>
      </c>
      <c r="L77" s="23">
        <v>4.2</v>
      </c>
      <c r="M77" s="23">
        <v>100</v>
      </c>
    </row>
    <row r="78" spans="1:13" x14ac:dyDescent="0.2">
      <c r="A78" s="1" t="s">
        <v>170</v>
      </c>
      <c r="B78" s="1" t="s">
        <v>172</v>
      </c>
      <c r="C78" s="1">
        <v>1996</v>
      </c>
      <c r="D78" s="1" t="s">
        <v>174</v>
      </c>
      <c r="E78" s="1" t="s">
        <v>177</v>
      </c>
      <c r="F78" s="1">
        <v>2000</v>
      </c>
      <c r="G78" s="1" t="s">
        <v>330</v>
      </c>
      <c r="H78" s="1">
        <v>250000</v>
      </c>
      <c r="I78" s="1">
        <v>4.3</v>
      </c>
      <c r="J78" s="1">
        <f t="shared" si="2"/>
        <v>22565000</v>
      </c>
      <c r="K78" s="1">
        <v>2210679</v>
      </c>
      <c r="L78" s="23">
        <v>4.3</v>
      </c>
      <c r="M78" s="23">
        <v>100</v>
      </c>
    </row>
    <row r="79" spans="1:13" x14ac:dyDescent="0.2">
      <c r="A79" s="1" t="s">
        <v>170</v>
      </c>
      <c r="B79" s="1" t="s">
        <v>172</v>
      </c>
      <c r="C79" s="1">
        <v>1996</v>
      </c>
      <c r="D79" s="1" t="s">
        <v>174</v>
      </c>
      <c r="E79" s="1" t="s">
        <v>177</v>
      </c>
      <c r="F79" s="1">
        <v>2001</v>
      </c>
      <c r="G79" s="1" t="s">
        <v>330</v>
      </c>
      <c r="H79" s="1">
        <v>260000</v>
      </c>
      <c r="I79" s="1">
        <v>4.4000000000000004</v>
      </c>
      <c r="J79" s="1">
        <f t="shared" si="2"/>
        <v>22305000</v>
      </c>
      <c r="K79" s="1">
        <v>2199929</v>
      </c>
      <c r="L79" s="23">
        <v>4.4000000000000004</v>
      </c>
      <c r="M79" s="23">
        <v>100</v>
      </c>
    </row>
    <row r="80" spans="1:13" x14ac:dyDescent="0.2">
      <c r="A80" s="1" t="s">
        <v>170</v>
      </c>
      <c r="B80" s="1" t="s">
        <v>172</v>
      </c>
      <c r="C80" s="1">
        <v>1996</v>
      </c>
      <c r="D80" s="1" t="s">
        <v>174</v>
      </c>
      <c r="E80" s="1" t="s">
        <v>177</v>
      </c>
      <c r="F80" s="1">
        <v>2002</v>
      </c>
      <c r="G80" s="1" t="s">
        <v>330</v>
      </c>
      <c r="H80" s="1">
        <v>275000</v>
      </c>
      <c r="I80" s="1">
        <v>4.5</v>
      </c>
      <c r="J80" s="1">
        <f t="shared" si="2"/>
        <v>22030000</v>
      </c>
      <c r="K80" s="1">
        <v>2188489</v>
      </c>
      <c r="L80" s="23">
        <v>4.5</v>
      </c>
      <c r="M80" s="23">
        <v>100</v>
      </c>
    </row>
    <row r="81" spans="1:13" x14ac:dyDescent="0.2">
      <c r="A81" s="1" t="s">
        <v>170</v>
      </c>
      <c r="B81" s="1" t="s">
        <v>172</v>
      </c>
      <c r="C81" s="1">
        <v>1996</v>
      </c>
      <c r="D81" s="1" t="s">
        <v>174</v>
      </c>
      <c r="E81" s="1" t="s">
        <v>177</v>
      </c>
      <c r="F81" s="1">
        <v>2003</v>
      </c>
      <c r="G81" s="1" t="s">
        <v>330</v>
      </c>
      <c r="H81" s="1">
        <v>475000</v>
      </c>
      <c r="I81" s="1">
        <v>4.55</v>
      </c>
      <c r="J81" s="1">
        <f t="shared" si="2"/>
        <v>21555000</v>
      </c>
      <c r="K81" s="1">
        <v>2176114</v>
      </c>
      <c r="L81" s="23">
        <v>4.5999999999999996</v>
      </c>
      <c r="M81" s="23" t="s">
        <v>176</v>
      </c>
    </row>
    <row r="82" spans="1:13" x14ac:dyDescent="0.2">
      <c r="A82" s="1" t="s">
        <v>170</v>
      </c>
      <c r="B82" s="1" t="s">
        <v>172</v>
      </c>
      <c r="C82" s="1">
        <v>1996</v>
      </c>
      <c r="D82" s="1" t="s">
        <v>174</v>
      </c>
      <c r="E82" s="1" t="s">
        <v>177</v>
      </c>
      <c r="F82" s="1">
        <v>2004</v>
      </c>
      <c r="G82" s="1" t="s">
        <v>330</v>
      </c>
      <c r="H82" s="1">
        <v>505000</v>
      </c>
      <c r="I82" s="1">
        <v>4.6500000000000004</v>
      </c>
      <c r="J82" s="1">
        <f t="shared" si="2"/>
        <v>21050000</v>
      </c>
      <c r="K82" s="1">
        <v>2154500</v>
      </c>
      <c r="L82" s="23">
        <v>4.7</v>
      </c>
      <c r="M82" s="23" t="s">
        <v>176</v>
      </c>
    </row>
    <row r="83" spans="1:13" x14ac:dyDescent="0.2">
      <c r="A83" s="1" t="s">
        <v>170</v>
      </c>
      <c r="B83" s="1" t="s">
        <v>172</v>
      </c>
      <c r="C83" s="1">
        <v>1996</v>
      </c>
      <c r="D83" s="1" t="s">
        <v>174</v>
      </c>
      <c r="E83" s="1" t="s">
        <v>177</v>
      </c>
      <c r="F83" s="1">
        <v>2005</v>
      </c>
      <c r="G83" s="1" t="s">
        <v>330</v>
      </c>
      <c r="H83" s="1">
        <v>525000</v>
      </c>
      <c r="I83" s="1">
        <v>4.75</v>
      </c>
      <c r="J83" s="1">
        <f t="shared" si="2"/>
        <v>20525000</v>
      </c>
      <c r="K83" s="1">
        <v>2136018</v>
      </c>
      <c r="L83" s="23">
        <v>4.8</v>
      </c>
      <c r="M83" s="23" t="s">
        <v>176</v>
      </c>
    </row>
    <row r="84" spans="1:13" x14ac:dyDescent="0.2">
      <c r="A84" s="1" t="s">
        <v>170</v>
      </c>
      <c r="B84" s="1" t="s">
        <v>172</v>
      </c>
      <c r="C84" s="1">
        <v>1996</v>
      </c>
      <c r="D84" s="1" t="s">
        <v>174</v>
      </c>
      <c r="E84" s="1" t="s">
        <v>177</v>
      </c>
      <c r="F84" s="1">
        <v>2006</v>
      </c>
      <c r="G84" s="1" t="s">
        <v>330</v>
      </c>
      <c r="H84" s="1">
        <v>545000</v>
      </c>
      <c r="I84" s="1">
        <v>4.8499999999999996</v>
      </c>
      <c r="J84" s="1">
        <f t="shared" si="2"/>
        <v>19980000</v>
      </c>
      <c r="K84" s="1">
        <v>2111081</v>
      </c>
      <c r="L84" s="23">
        <v>4.9000000000000004</v>
      </c>
      <c r="M84" s="23" t="s">
        <v>176</v>
      </c>
    </row>
    <row r="85" spans="1:13" x14ac:dyDescent="0.2">
      <c r="A85" s="1" t="s">
        <v>170</v>
      </c>
      <c r="B85" s="1" t="s">
        <v>172</v>
      </c>
      <c r="C85" s="1">
        <v>1996</v>
      </c>
      <c r="D85" s="1" t="s">
        <v>174</v>
      </c>
      <c r="E85" s="1" t="s">
        <v>177</v>
      </c>
      <c r="F85" s="1">
        <v>2007</v>
      </c>
      <c r="G85" s="1" t="s">
        <v>330</v>
      </c>
      <c r="H85" s="1">
        <v>580000</v>
      </c>
      <c r="I85" s="1">
        <v>5</v>
      </c>
      <c r="J85" s="1">
        <f t="shared" si="2"/>
        <v>19400000</v>
      </c>
      <c r="K85" s="1">
        <v>2079649</v>
      </c>
      <c r="L85" s="23">
        <v>5</v>
      </c>
      <c r="M85" s="23">
        <v>100</v>
      </c>
    </row>
    <row r="86" spans="1:13" x14ac:dyDescent="0.2">
      <c r="A86" s="1" t="s">
        <v>170</v>
      </c>
      <c r="B86" s="1" t="s">
        <v>172</v>
      </c>
      <c r="C86" s="1">
        <v>1996</v>
      </c>
      <c r="D86" s="1" t="s">
        <v>174</v>
      </c>
      <c r="E86" s="1" t="s">
        <v>177</v>
      </c>
      <c r="F86" s="1">
        <v>2008</v>
      </c>
      <c r="G86" s="1" t="s">
        <v>330</v>
      </c>
      <c r="H86" s="1">
        <v>610000</v>
      </c>
      <c r="I86" s="1">
        <v>5</v>
      </c>
      <c r="J86" s="1">
        <f t="shared" si="2"/>
        <v>18790000</v>
      </c>
      <c r="K86" s="1">
        <v>2055649</v>
      </c>
      <c r="L86" s="23">
        <v>4.125</v>
      </c>
      <c r="M86" s="23" t="s">
        <v>176</v>
      </c>
    </row>
    <row r="87" spans="1:13" x14ac:dyDescent="0.2">
      <c r="A87" s="1" t="s">
        <v>170</v>
      </c>
      <c r="B87" s="1" t="s">
        <v>172</v>
      </c>
      <c r="C87" s="1">
        <v>1996</v>
      </c>
      <c r="D87" s="1" t="s">
        <v>174</v>
      </c>
      <c r="E87" s="1" t="s">
        <v>177</v>
      </c>
      <c r="F87" s="1">
        <v>2009</v>
      </c>
      <c r="G87" s="1" t="s">
        <v>330</v>
      </c>
      <c r="H87" s="1">
        <v>640000</v>
      </c>
      <c r="I87" s="1">
        <v>5.15</v>
      </c>
      <c r="J87" s="1">
        <f t="shared" si="2"/>
        <v>18150000</v>
      </c>
      <c r="K87" s="1">
        <v>2020149</v>
      </c>
      <c r="L87" s="23">
        <v>5.25</v>
      </c>
      <c r="M87" s="23" t="s">
        <v>176</v>
      </c>
    </row>
    <row r="88" spans="1:13" x14ac:dyDescent="0.2">
      <c r="A88" s="1" t="s">
        <v>170</v>
      </c>
      <c r="B88" s="1" t="s">
        <v>172</v>
      </c>
      <c r="C88" s="1">
        <v>1996</v>
      </c>
      <c r="D88" s="1" t="s">
        <v>174</v>
      </c>
      <c r="E88" s="1" t="s">
        <v>178</v>
      </c>
      <c r="F88" s="1">
        <v>2010</v>
      </c>
      <c r="G88" s="1" t="s">
        <v>330</v>
      </c>
      <c r="H88" s="1">
        <v>670000</v>
      </c>
      <c r="I88" s="1">
        <v>5.45</v>
      </c>
      <c r="J88" s="1">
        <f t="shared" si="2"/>
        <v>17480000</v>
      </c>
      <c r="K88" s="1">
        <v>1987189</v>
      </c>
      <c r="L88" s="23">
        <v>5.45</v>
      </c>
      <c r="M88" s="23">
        <v>100</v>
      </c>
    </row>
    <row r="89" spans="1:13" x14ac:dyDescent="0.2">
      <c r="A89" s="1" t="s">
        <v>170</v>
      </c>
      <c r="B89" s="1" t="s">
        <v>172</v>
      </c>
      <c r="C89" s="1">
        <v>1996</v>
      </c>
      <c r="D89" s="1" t="s">
        <v>174</v>
      </c>
      <c r="E89" s="1" t="s">
        <v>178</v>
      </c>
      <c r="F89" s="1">
        <v>2011</v>
      </c>
      <c r="G89" s="1" t="s">
        <v>330</v>
      </c>
      <c r="H89" s="1">
        <v>705000</v>
      </c>
      <c r="I89" s="1">
        <v>5.45</v>
      </c>
      <c r="J89" s="1">
        <f t="shared" si="2"/>
        <v>16775000</v>
      </c>
      <c r="K89" s="1">
        <v>1950673</v>
      </c>
      <c r="L89" s="23">
        <v>5.45</v>
      </c>
      <c r="M89" s="23">
        <v>100</v>
      </c>
    </row>
    <row r="90" spans="1:13" x14ac:dyDescent="0.2">
      <c r="A90" s="1" t="s">
        <v>170</v>
      </c>
      <c r="B90" s="1" t="s">
        <v>172</v>
      </c>
      <c r="C90" s="1">
        <v>1996</v>
      </c>
      <c r="D90" s="1" t="s">
        <v>174</v>
      </c>
      <c r="E90" s="1" t="s">
        <v>178</v>
      </c>
      <c r="F90" s="1">
        <v>2012</v>
      </c>
      <c r="G90" s="1" t="s">
        <v>330</v>
      </c>
      <c r="H90" s="1">
        <v>750000</v>
      </c>
      <c r="I90" s="1">
        <v>5.45</v>
      </c>
      <c r="J90" s="1">
        <f t="shared" si="2"/>
        <v>16025000</v>
      </c>
      <c r="K90" s="1">
        <v>1917251</v>
      </c>
      <c r="L90" s="23">
        <v>5.45</v>
      </c>
      <c r="M90" s="23">
        <v>100</v>
      </c>
    </row>
    <row r="91" spans="1:13" x14ac:dyDescent="0.2">
      <c r="A91" s="1" t="s">
        <v>170</v>
      </c>
      <c r="B91" s="1" t="s">
        <v>172</v>
      </c>
      <c r="C91" s="1">
        <v>1996</v>
      </c>
      <c r="D91" s="1" t="s">
        <v>174</v>
      </c>
      <c r="E91" s="1" t="s">
        <v>178</v>
      </c>
      <c r="F91" s="1">
        <v>2013</v>
      </c>
      <c r="G91" s="1" t="s">
        <v>330</v>
      </c>
      <c r="H91" s="1">
        <v>785000</v>
      </c>
      <c r="I91" s="1">
        <v>5.5</v>
      </c>
      <c r="J91" s="1">
        <f t="shared" si="2"/>
        <v>15240000</v>
      </c>
      <c r="K91" s="1">
        <v>1876375</v>
      </c>
      <c r="L91" s="23">
        <v>5.625</v>
      </c>
      <c r="M91" s="23" t="s">
        <v>176</v>
      </c>
    </row>
    <row r="92" spans="1:13" x14ac:dyDescent="0.2">
      <c r="A92" s="1" t="s">
        <v>170</v>
      </c>
      <c r="B92" s="1" t="s">
        <v>172</v>
      </c>
      <c r="C92" s="1">
        <v>1996</v>
      </c>
      <c r="D92" s="1" t="s">
        <v>174</v>
      </c>
      <c r="E92" s="1" t="s">
        <v>178</v>
      </c>
      <c r="F92" s="1">
        <v>2014</v>
      </c>
      <c r="G92" s="1" t="s">
        <v>330</v>
      </c>
      <c r="H92" s="1">
        <v>1820000</v>
      </c>
      <c r="I92" s="1">
        <v>5.5</v>
      </c>
      <c r="J92" s="1">
        <f t="shared" si="2"/>
        <v>13420000</v>
      </c>
      <c r="K92" s="1">
        <v>838200</v>
      </c>
      <c r="L92" s="23">
        <v>5.625</v>
      </c>
      <c r="M92" s="23" t="s">
        <v>176</v>
      </c>
    </row>
    <row r="93" spans="1:13" x14ac:dyDescent="0.2">
      <c r="A93" s="1" t="s">
        <v>170</v>
      </c>
      <c r="B93" s="1" t="s">
        <v>172</v>
      </c>
      <c r="C93" s="1">
        <v>1996</v>
      </c>
      <c r="D93" s="1" t="s">
        <v>174</v>
      </c>
      <c r="E93" s="1" t="s">
        <v>178</v>
      </c>
      <c r="F93" s="1">
        <v>2015</v>
      </c>
      <c r="G93" s="1" t="s">
        <v>330</v>
      </c>
      <c r="H93" s="1">
        <v>1920000</v>
      </c>
      <c r="I93" s="1">
        <v>5.5</v>
      </c>
      <c r="J93" s="1">
        <f t="shared" si="2"/>
        <v>11500000</v>
      </c>
      <c r="K93" s="1">
        <v>738100</v>
      </c>
      <c r="L93" s="23">
        <v>5.625</v>
      </c>
      <c r="M93" s="23" t="s">
        <v>176</v>
      </c>
    </row>
    <row r="94" spans="1:13" x14ac:dyDescent="0.2">
      <c r="A94" s="1" t="s">
        <v>170</v>
      </c>
      <c r="B94" s="1" t="s">
        <v>172</v>
      </c>
      <c r="C94" s="1">
        <v>1996</v>
      </c>
      <c r="D94" s="1" t="s">
        <v>174</v>
      </c>
      <c r="E94" s="1" t="s">
        <v>178</v>
      </c>
      <c r="F94" s="1">
        <v>2016</v>
      </c>
      <c r="G94" s="1" t="s">
        <v>330</v>
      </c>
      <c r="H94" s="1">
        <v>1850000</v>
      </c>
      <c r="I94" s="1">
        <v>5.5</v>
      </c>
      <c r="J94" s="1">
        <f t="shared" si="2"/>
        <v>9650000</v>
      </c>
      <c r="K94" s="1">
        <v>632500</v>
      </c>
      <c r="L94" s="23">
        <v>5.625</v>
      </c>
      <c r="M94" s="23" t="s">
        <v>176</v>
      </c>
    </row>
    <row r="95" spans="1:13" x14ac:dyDescent="0.2">
      <c r="A95" s="1" t="s">
        <v>170</v>
      </c>
      <c r="B95" s="1" t="s">
        <v>172</v>
      </c>
      <c r="C95" s="1">
        <v>1996</v>
      </c>
      <c r="D95" s="1" t="s">
        <v>174</v>
      </c>
      <c r="E95" s="1" t="s">
        <v>178</v>
      </c>
      <c r="F95" s="1">
        <v>2017</v>
      </c>
      <c r="G95" s="1" t="s">
        <v>330</v>
      </c>
      <c r="H95" s="1">
        <v>1730000</v>
      </c>
      <c r="I95" s="1">
        <v>5.5</v>
      </c>
      <c r="J95" s="1">
        <f t="shared" si="2"/>
        <v>7920000</v>
      </c>
      <c r="K95" s="1">
        <v>530750</v>
      </c>
      <c r="L95" s="23" t="s">
        <v>176</v>
      </c>
      <c r="M95" s="23">
        <v>97.7</v>
      </c>
    </row>
    <row r="96" spans="1:13" x14ac:dyDescent="0.2">
      <c r="A96" s="1" t="s">
        <v>170</v>
      </c>
      <c r="B96" s="1" t="s">
        <v>172</v>
      </c>
      <c r="C96" s="1">
        <v>1996</v>
      </c>
      <c r="D96" s="1" t="s">
        <v>174</v>
      </c>
      <c r="E96" s="1" t="s">
        <v>178</v>
      </c>
      <c r="F96" s="1">
        <v>2018</v>
      </c>
      <c r="G96" s="1" t="s">
        <v>330</v>
      </c>
      <c r="H96" s="1">
        <v>1830000</v>
      </c>
      <c r="I96" s="1">
        <v>5.5</v>
      </c>
      <c r="J96" s="1">
        <f t="shared" si="2"/>
        <v>6090000</v>
      </c>
      <c r="K96" s="1">
        <v>435600</v>
      </c>
      <c r="L96" s="23" t="s">
        <v>176</v>
      </c>
      <c r="M96" s="23">
        <v>97.7</v>
      </c>
    </row>
    <row r="97" spans="1:13" x14ac:dyDescent="0.2">
      <c r="A97" s="1" t="s">
        <v>170</v>
      </c>
      <c r="B97" s="1" t="s">
        <v>172</v>
      </c>
      <c r="C97" s="1">
        <v>1996</v>
      </c>
      <c r="D97" s="1" t="s">
        <v>174</v>
      </c>
      <c r="E97" s="1" t="s">
        <v>178</v>
      </c>
      <c r="F97" s="1">
        <v>2019</v>
      </c>
      <c r="G97" s="1" t="s">
        <v>330</v>
      </c>
      <c r="H97" s="1">
        <v>1925000</v>
      </c>
      <c r="I97" s="1">
        <v>5.5</v>
      </c>
      <c r="J97" s="1">
        <f t="shared" si="2"/>
        <v>4165000</v>
      </c>
      <c r="K97" s="1">
        <v>334950</v>
      </c>
      <c r="L97" s="23" t="s">
        <v>176</v>
      </c>
      <c r="M97" s="23">
        <v>97.7</v>
      </c>
    </row>
    <row r="98" spans="1:13" x14ac:dyDescent="0.2">
      <c r="A98" s="1" t="s">
        <v>170</v>
      </c>
      <c r="B98" s="1" t="s">
        <v>172</v>
      </c>
      <c r="C98" s="1">
        <v>1996</v>
      </c>
      <c r="D98" s="1" t="s">
        <v>174</v>
      </c>
      <c r="E98" s="1" t="s">
        <v>178</v>
      </c>
      <c r="F98" s="1">
        <v>2020</v>
      </c>
      <c r="G98" s="1" t="s">
        <v>330</v>
      </c>
      <c r="H98" s="1">
        <v>2025000</v>
      </c>
      <c r="I98" s="1">
        <v>5.5</v>
      </c>
      <c r="J98" s="1">
        <f t="shared" si="2"/>
        <v>2140000</v>
      </c>
      <c r="K98" s="1">
        <v>229075</v>
      </c>
      <c r="L98" s="23" t="s">
        <v>176</v>
      </c>
      <c r="M98" s="23">
        <v>97.7</v>
      </c>
    </row>
    <row r="99" spans="1:13" x14ac:dyDescent="0.2">
      <c r="A99" s="1" t="s">
        <v>170</v>
      </c>
      <c r="B99" s="1" t="s">
        <v>172</v>
      </c>
      <c r="C99" s="1">
        <v>1996</v>
      </c>
      <c r="D99" s="1" t="s">
        <v>174</v>
      </c>
      <c r="E99" s="1" t="s">
        <v>178</v>
      </c>
      <c r="F99" s="1">
        <v>2021</v>
      </c>
      <c r="G99" s="1" t="s">
        <v>330</v>
      </c>
      <c r="H99" s="1">
        <v>2140000</v>
      </c>
      <c r="I99" s="1">
        <v>5.5</v>
      </c>
      <c r="J99" s="1">
        <f t="shared" si="2"/>
        <v>0</v>
      </c>
      <c r="K99" s="1">
        <v>117700</v>
      </c>
      <c r="L99" s="23" t="s">
        <v>176</v>
      </c>
      <c r="M99" s="23">
        <v>97.7</v>
      </c>
    </row>
    <row r="100" spans="1:13" x14ac:dyDescent="0.2">
      <c r="A100" s="1" t="s">
        <v>170</v>
      </c>
      <c r="B100" s="1" t="s">
        <v>172</v>
      </c>
      <c r="C100" s="1">
        <v>1998</v>
      </c>
      <c r="D100" s="1" t="s">
        <v>174</v>
      </c>
      <c r="E100" s="1" t="s">
        <v>177</v>
      </c>
      <c r="F100" s="1">
        <v>1998</v>
      </c>
      <c r="G100" s="1" t="s">
        <v>331</v>
      </c>
      <c r="H100" s="1">
        <v>0</v>
      </c>
      <c r="I100" s="1" t="s">
        <v>176</v>
      </c>
      <c r="J100" s="1">
        <v>8575000</v>
      </c>
      <c r="K100" s="1">
        <v>160385</v>
      </c>
      <c r="L100" s="23" t="s">
        <v>176</v>
      </c>
      <c r="M100" s="23" t="s">
        <v>176</v>
      </c>
    </row>
    <row r="101" spans="1:13" x14ac:dyDescent="0.2">
      <c r="A101" s="1" t="s">
        <v>170</v>
      </c>
      <c r="B101" s="1" t="s">
        <v>172</v>
      </c>
      <c r="C101" s="1">
        <v>1998</v>
      </c>
      <c r="D101" s="1" t="s">
        <v>174</v>
      </c>
      <c r="E101" s="1" t="s">
        <v>177</v>
      </c>
      <c r="F101" s="1">
        <v>1999</v>
      </c>
      <c r="G101" s="1" t="s">
        <v>331</v>
      </c>
      <c r="H101" s="1">
        <v>125000</v>
      </c>
      <c r="I101" s="1">
        <v>3.8</v>
      </c>
      <c r="J101" s="1">
        <f t="shared" si="2"/>
        <v>8450000</v>
      </c>
      <c r="K101" s="1">
        <v>384925</v>
      </c>
      <c r="L101" s="23">
        <v>3.8</v>
      </c>
      <c r="M101" s="23">
        <v>100</v>
      </c>
    </row>
    <row r="102" spans="1:13" x14ac:dyDescent="0.2">
      <c r="A102" s="1" t="s">
        <v>170</v>
      </c>
      <c r="B102" s="1" t="s">
        <v>172</v>
      </c>
      <c r="C102" s="1">
        <v>1998</v>
      </c>
      <c r="D102" s="1" t="s">
        <v>174</v>
      </c>
      <c r="E102" s="1" t="s">
        <v>177</v>
      </c>
      <c r="F102" s="1">
        <v>2000</v>
      </c>
      <c r="G102" s="1" t="s">
        <v>331</v>
      </c>
      <c r="H102" s="1">
        <v>245000</v>
      </c>
      <c r="I102" s="1">
        <v>4</v>
      </c>
      <c r="J102" s="1">
        <f t="shared" si="2"/>
        <v>8205000</v>
      </c>
      <c r="K102" s="1">
        <v>380175</v>
      </c>
      <c r="L102" s="23">
        <v>4</v>
      </c>
      <c r="M102" s="23">
        <v>100</v>
      </c>
    </row>
    <row r="103" spans="1:13" x14ac:dyDescent="0.2">
      <c r="A103" s="1" t="s">
        <v>170</v>
      </c>
      <c r="B103" s="1" t="s">
        <v>172</v>
      </c>
      <c r="C103" s="1">
        <v>1998</v>
      </c>
      <c r="D103" s="1" t="s">
        <v>174</v>
      </c>
      <c r="E103" s="1" t="s">
        <v>177</v>
      </c>
      <c r="F103" s="1">
        <v>2001</v>
      </c>
      <c r="G103" s="1" t="s">
        <v>331</v>
      </c>
      <c r="H103" s="1">
        <v>255000</v>
      </c>
      <c r="I103" s="1">
        <v>4</v>
      </c>
      <c r="J103" s="1">
        <f t="shared" si="2"/>
        <v>7950000</v>
      </c>
      <c r="K103" s="1">
        <v>370375</v>
      </c>
      <c r="L103" s="23">
        <v>4.05</v>
      </c>
      <c r="M103" s="23" t="s">
        <v>176</v>
      </c>
    </row>
    <row r="104" spans="1:13" x14ac:dyDescent="0.2">
      <c r="A104" s="1" t="s">
        <v>170</v>
      </c>
      <c r="B104" s="1" t="s">
        <v>172</v>
      </c>
      <c r="C104" s="1">
        <v>1998</v>
      </c>
      <c r="D104" s="1" t="s">
        <v>174</v>
      </c>
      <c r="E104" s="1" t="s">
        <v>177</v>
      </c>
      <c r="F104" s="1">
        <v>2002</v>
      </c>
      <c r="G104" s="1" t="s">
        <v>331</v>
      </c>
      <c r="H104" s="1">
        <v>265000</v>
      </c>
      <c r="I104" s="1">
        <v>4.0999999999999996</v>
      </c>
      <c r="J104" s="1">
        <f t="shared" si="2"/>
        <v>7685000</v>
      </c>
      <c r="K104" s="1">
        <v>360175</v>
      </c>
      <c r="L104" s="23">
        <v>4.0999999999999996</v>
      </c>
      <c r="M104" s="23">
        <v>100</v>
      </c>
    </row>
    <row r="105" spans="1:13" x14ac:dyDescent="0.2">
      <c r="A105" s="1" t="s">
        <v>170</v>
      </c>
      <c r="B105" s="1" t="s">
        <v>172</v>
      </c>
      <c r="C105" s="1">
        <v>1998</v>
      </c>
      <c r="D105" s="1" t="s">
        <v>174</v>
      </c>
      <c r="E105" s="1" t="s">
        <v>177</v>
      </c>
      <c r="F105" s="1">
        <v>2003</v>
      </c>
      <c r="G105" s="1" t="s">
        <v>331</v>
      </c>
      <c r="H105" s="1">
        <v>280000</v>
      </c>
      <c r="I105" s="1">
        <v>4.0999999999999996</v>
      </c>
      <c r="J105" s="1">
        <f t="shared" si="2"/>
        <v>7405000</v>
      </c>
      <c r="K105" s="1">
        <v>349310</v>
      </c>
      <c r="L105" s="23">
        <v>4.1500000000000004</v>
      </c>
      <c r="M105" s="23" t="s">
        <v>176</v>
      </c>
    </row>
    <row r="106" spans="1:13" x14ac:dyDescent="0.2">
      <c r="A106" s="1" t="s">
        <v>170</v>
      </c>
      <c r="B106" s="1" t="s">
        <v>172</v>
      </c>
      <c r="C106" s="1">
        <v>1998</v>
      </c>
      <c r="D106" s="1" t="s">
        <v>174</v>
      </c>
      <c r="E106" s="1" t="s">
        <v>177</v>
      </c>
      <c r="F106" s="1">
        <v>2004</v>
      </c>
      <c r="G106" s="1" t="s">
        <v>331</v>
      </c>
      <c r="H106" s="1">
        <v>290000</v>
      </c>
      <c r="I106" s="1">
        <v>4.2</v>
      </c>
      <c r="J106" s="1">
        <f t="shared" si="2"/>
        <v>7115000</v>
      </c>
      <c r="K106" s="1">
        <v>337830</v>
      </c>
      <c r="L106" s="23">
        <v>4.25</v>
      </c>
      <c r="M106" s="23" t="s">
        <v>176</v>
      </c>
    </row>
    <row r="107" spans="1:13" x14ac:dyDescent="0.2">
      <c r="A107" s="1" t="s">
        <v>170</v>
      </c>
      <c r="B107" s="1" t="s">
        <v>172</v>
      </c>
      <c r="C107" s="1">
        <v>1998</v>
      </c>
      <c r="D107" s="1" t="s">
        <v>174</v>
      </c>
      <c r="E107" s="1" t="s">
        <v>177</v>
      </c>
      <c r="F107" s="1">
        <v>2005</v>
      </c>
      <c r="G107" s="1" t="s">
        <v>331</v>
      </c>
      <c r="H107" s="1">
        <v>300000</v>
      </c>
      <c r="I107" s="1">
        <v>4.25</v>
      </c>
      <c r="J107" s="1">
        <f t="shared" si="2"/>
        <v>6815000</v>
      </c>
      <c r="K107" s="1">
        <v>325650</v>
      </c>
      <c r="L107" s="23">
        <v>4.3</v>
      </c>
      <c r="M107" s="23" t="s">
        <v>176</v>
      </c>
    </row>
    <row r="108" spans="1:13" x14ac:dyDescent="0.2">
      <c r="A108" s="1" t="s">
        <v>170</v>
      </c>
      <c r="B108" s="1" t="s">
        <v>172</v>
      </c>
      <c r="C108" s="1">
        <v>1998</v>
      </c>
      <c r="D108" s="1" t="s">
        <v>174</v>
      </c>
      <c r="E108" s="1" t="s">
        <v>177</v>
      </c>
      <c r="F108" s="1">
        <v>2006</v>
      </c>
      <c r="G108" s="1" t="s">
        <v>331</v>
      </c>
      <c r="H108" s="1">
        <v>315000</v>
      </c>
      <c r="I108" s="1">
        <v>4.3</v>
      </c>
      <c r="J108" s="1">
        <f t="shared" si="2"/>
        <v>6500000</v>
      </c>
      <c r="K108" s="1">
        <v>312900</v>
      </c>
      <c r="L108" s="23">
        <v>4.3499999999999996</v>
      </c>
      <c r="M108" s="23" t="s">
        <v>176</v>
      </c>
    </row>
    <row r="109" spans="1:13" x14ac:dyDescent="0.2">
      <c r="A109" s="1" t="s">
        <v>170</v>
      </c>
      <c r="B109" s="1" t="s">
        <v>172</v>
      </c>
      <c r="C109" s="1">
        <v>1998</v>
      </c>
      <c r="D109" s="1" t="s">
        <v>174</v>
      </c>
      <c r="E109" s="1" t="s">
        <v>177</v>
      </c>
      <c r="F109" s="1">
        <v>2007</v>
      </c>
      <c r="G109" s="1" t="s">
        <v>331</v>
      </c>
      <c r="H109" s="1">
        <v>325000</v>
      </c>
      <c r="I109" s="1">
        <v>4.3499999999999996</v>
      </c>
      <c r="J109" s="1">
        <f t="shared" si="2"/>
        <v>6175000</v>
      </c>
      <c r="K109" s="1">
        <v>299355</v>
      </c>
      <c r="L109" s="23">
        <v>4.4000000000000004</v>
      </c>
      <c r="M109" s="23" t="s">
        <v>176</v>
      </c>
    </row>
    <row r="110" spans="1:13" x14ac:dyDescent="0.2">
      <c r="A110" s="1" t="s">
        <v>170</v>
      </c>
      <c r="B110" s="1" t="s">
        <v>172</v>
      </c>
      <c r="C110" s="1">
        <v>1998</v>
      </c>
      <c r="D110" s="1" t="s">
        <v>174</v>
      </c>
      <c r="E110" s="1" t="s">
        <v>177</v>
      </c>
      <c r="F110" s="1">
        <v>2008</v>
      </c>
      <c r="G110" s="1" t="s">
        <v>331</v>
      </c>
      <c r="H110" s="1">
        <v>345000</v>
      </c>
      <c r="I110" s="1">
        <v>4.45</v>
      </c>
      <c r="J110" s="1">
        <f t="shared" si="2"/>
        <v>5830000</v>
      </c>
      <c r="K110" s="1">
        <v>285218</v>
      </c>
      <c r="L110" s="23">
        <v>4.5</v>
      </c>
      <c r="M110" s="23" t="s">
        <v>176</v>
      </c>
    </row>
    <row r="111" spans="1:13" x14ac:dyDescent="0.2">
      <c r="A111" s="1" t="s">
        <v>170</v>
      </c>
      <c r="B111" s="1" t="s">
        <v>172</v>
      </c>
      <c r="C111" s="1">
        <v>1998</v>
      </c>
      <c r="D111" s="1" t="s">
        <v>174</v>
      </c>
      <c r="E111" s="1" t="s">
        <v>177</v>
      </c>
      <c r="F111" s="1">
        <v>2009</v>
      </c>
      <c r="G111" s="1" t="s">
        <v>331</v>
      </c>
      <c r="H111" s="1">
        <v>355000</v>
      </c>
      <c r="I111" s="1">
        <v>4.5</v>
      </c>
      <c r="J111" s="1">
        <f t="shared" si="2"/>
        <v>5475000</v>
      </c>
      <c r="K111" s="1">
        <v>269865</v>
      </c>
      <c r="L111" s="23">
        <v>4.55</v>
      </c>
      <c r="M111" s="23" t="s">
        <v>176</v>
      </c>
    </row>
    <row r="112" spans="1:13" x14ac:dyDescent="0.2">
      <c r="A112" s="1" t="s">
        <v>170</v>
      </c>
      <c r="B112" s="1" t="s">
        <v>172</v>
      </c>
      <c r="C112" s="1">
        <v>1998</v>
      </c>
      <c r="D112" s="1" t="s">
        <v>174</v>
      </c>
      <c r="E112" s="1" t="s">
        <v>178</v>
      </c>
      <c r="F112" s="1">
        <v>2010</v>
      </c>
      <c r="G112" s="1" t="s">
        <v>331</v>
      </c>
      <c r="H112" s="1">
        <v>370000</v>
      </c>
      <c r="I112" s="1">
        <v>4.55</v>
      </c>
      <c r="J112" s="1">
        <f t="shared" si="2"/>
        <v>5105000</v>
      </c>
      <c r="K112" s="1">
        <v>253890</v>
      </c>
      <c r="L112" s="23">
        <v>4.6399999999999997</v>
      </c>
      <c r="M112" s="23">
        <v>99.105999999999995</v>
      </c>
    </row>
    <row r="113" spans="1:13" x14ac:dyDescent="0.2">
      <c r="A113" s="1" t="s">
        <v>170</v>
      </c>
      <c r="B113" s="1" t="s">
        <v>172</v>
      </c>
      <c r="C113" s="1">
        <v>1998</v>
      </c>
      <c r="D113" s="1" t="s">
        <v>174</v>
      </c>
      <c r="E113" s="1" t="s">
        <v>178</v>
      </c>
      <c r="F113" s="1">
        <v>2011</v>
      </c>
      <c r="G113" s="1" t="s">
        <v>331</v>
      </c>
      <c r="H113" s="1">
        <v>930000</v>
      </c>
      <c r="I113" s="1">
        <v>4.55</v>
      </c>
      <c r="J113" s="1">
        <f t="shared" si="2"/>
        <v>4175000</v>
      </c>
      <c r="K113" s="1">
        <v>237055</v>
      </c>
      <c r="L113" s="23">
        <v>4.6399999999999997</v>
      </c>
      <c r="M113" s="23">
        <v>99.105999999999995</v>
      </c>
    </row>
    <row r="114" spans="1:13" x14ac:dyDescent="0.2">
      <c r="A114" s="1" t="s">
        <v>170</v>
      </c>
      <c r="B114" s="1" t="s">
        <v>172</v>
      </c>
      <c r="C114" s="1">
        <v>1998</v>
      </c>
      <c r="D114" s="1" t="s">
        <v>174</v>
      </c>
      <c r="E114" s="1" t="s">
        <v>177</v>
      </c>
      <c r="F114" s="1">
        <v>2012</v>
      </c>
      <c r="G114" s="1" t="s">
        <v>331</v>
      </c>
      <c r="H114" s="1">
        <v>975000</v>
      </c>
      <c r="I114" s="1">
        <v>4.5999999999999996</v>
      </c>
      <c r="J114" s="1">
        <f t="shared" si="2"/>
        <v>3200000</v>
      </c>
      <c r="K114" s="1">
        <v>194740</v>
      </c>
      <c r="L114" s="23">
        <v>4.7</v>
      </c>
      <c r="M114" s="23" t="s">
        <v>176</v>
      </c>
    </row>
    <row r="115" spans="1:13" x14ac:dyDescent="0.2">
      <c r="A115" s="1" t="s">
        <v>170</v>
      </c>
      <c r="B115" s="1" t="s">
        <v>172</v>
      </c>
      <c r="C115" s="1">
        <v>1998</v>
      </c>
      <c r="D115" s="1" t="s">
        <v>174</v>
      </c>
      <c r="E115" s="1" t="s">
        <v>177</v>
      </c>
      <c r="F115" s="1">
        <v>2013</v>
      </c>
      <c r="G115" s="1" t="s">
        <v>331</v>
      </c>
      <c r="H115" s="1">
        <v>1020000</v>
      </c>
      <c r="I115" s="1">
        <v>4.6500000000000004</v>
      </c>
      <c r="J115" s="1">
        <f t="shared" si="2"/>
        <v>2180000</v>
      </c>
      <c r="K115" s="1">
        <v>149890</v>
      </c>
      <c r="L115" s="23">
        <v>4.75</v>
      </c>
      <c r="M115" s="23" t="s">
        <v>176</v>
      </c>
    </row>
    <row r="116" spans="1:13" x14ac:dyDescent="0.2">
      <c r="A116" s="1" t="s">
        <v>170</v>
      </c>
      <c r="B116" s="1" t="s">
        <v>172</v>
      </c>
      <c r="C116" s="1">
        <v>1998</v>
      </c>
      <c r="D116" s="1" t="s">
        <v>174</v>
      </c>
      <c r="E116" s="1" t="s">
        <v>178</v>
      </c>
      <c r="F116" s="1">
        <v>2014</v>
      </c>
      <c r="G116" s="1" t="s">
        <v>331</v>
      </c>
      <c r="H116" s="1">
        <v>1065000</v>
      </c>
      <c r="I116" s="1">
        <v>4.7</v>
      </c>
      <c r="J116" s="1">
        <f t="shared" si="2"/>
        <v>1115000</v>
      </c>
      <c r="K116" s="1">
        <v>102460</v>
      </c>
      <c r="L116" s="23">
        <v>4.8</v>
      </c>
      <c r="M116" s="23">
        <v>98.825000000000003</v>
      </c>
    </row>
    <row r="117" spans="1:13" x14ac:dyDescent="0.2">
      <c r="A117" s="1" t="s">
        <v>170</v>
      </c>
      <c r="B117" s="1" t="s">
        <v>172</v>
      </c>
      <c r="C117" s="1">
        <v>1998</v>
      </c>
      <c r="D117" s="1" t="s">
        <v>174</v>
      </c>
      <c r="E117" s="1" t="s">
        <v>178</v>
      </c>
      <c r="F117" s="1">
        <v>2015</v>
      </c>
      <c r="G117" s="1" t="s">
        <v>331</v>
      </c>
      <c r="H117" s="1">
        <v>1115000</v>
      </c>
      <c r="I117" s="1">
        <v>4.7</v>
      </c>
      <c r="J117" s="1">
        <f t="shared" si="2"/>
        <v>0</v>
      </c>
      <c r="K117" s="1">
        <v>52405</v>
      </c>
      <c r="L117" s="23">
        <v>4.8</v>
      </c>
      <c r="M117" s="23">
        <v>98.825000000000003</v>
      </c>
    </row>
    <row r="118" spans="1:13" x14ac:dyDescent="0.2">
      <c r="A118" s="1" t="s">
        <v>170</v>
      </c>
      <c r="B118" s="1" t="s">
        <v>172</v>
      </c>
      <c r="C118" s="1">
        <v>2003</v>
      </c>
      <c r="D118" s="1" t="s">
        <v>174</v>
      </c>
      <c r="E118" s="1" t="s">
        <v>177</v>
      </c>
      <c r="F118" s="1">
        <v>2003</v>
      </c>
      <c r="G118" s="1" t="s">
        <v>331</v>
      </c>
      <c r="H118" s="1">
        <v>185000</v>
      </c>
      <c r="I118" s="1">
        <v>2</v>
      </c>
      <c r="J118" s="1">
        <f>8070000-H118</f>
        <v>7885000</v>
      </c>
      <c r="K118" s="1">
        <v>67883</v>
      </c>
      <c r="L118" s="23">
        <v>1</v>
      </c>
      <c r="M118" s="23">
        <v>100.206</v>
      </c>
    </row>
    <row r="119" spans="1:13" x14ac:dyDescent="0.2">
      <c r="A119" s="1" t="s">
        <v>170</v>
      </c>
      <c r="B119" s="1" t="s">
        <v>172</v>
      </c>
      <c r="C119" s="1">
        <v>2003</v>
      </c>
      <c r="D119" s="1" t="s">
        <v>174</v>
      </c>
      <c r="E119" s="1" t="s">
        <v>177</v>
      </c>
      <c r="F119" s="1">
        <v>2004</v>
      </c>
      <c r="G119" s="1" t="s">
        <v>331</v>
      </c>
      <c r="H119" s="1">
        <v>355000</v>
      </c>
      <c r="I119" s="1">
        <v>2</v>
      </c>
      <c r="J119" s="1">
        <f t="shared" si="2"/>
        <v>7530000</v>
      </c>
      <c r="K119" s="1">
        <v>267830</v>
      </c>
      <c r="L119" s="23">
        <v>1.1000000000000001</v>
      </c>
      <c r="M119" s="23">
        <v>101.07599999999999</v>
      </c>
    </row>
    <row r="120" spans="1:13" x14ac:dyDescent="0.2">
      <c r="A120" s="1" t="s">
        <v>170</v>
      </c>
      <c r="B120" s="1" t="s">
        <v>172</v>
      </c>
      <c r="C120" s="1">
        <v>2003</v>
      </c>
      <c r="D120" s="1" t="s">
        <v>174</v>
      </c>
      <c r="E120" s="1" t="s">
        <v>177</v>
      </c>
      <c r="F120" s="1">
        <v>2005</v>
      </c>
      <c r="G120" s="1" t="s">
        <v>331</v>
      </c>
      <c r="H120" s="1">
        <v>360000</v>
      </c>
      <c r="I120" s="1">
        <v>2.25</v>
      </c>
      <c r="J120" s="1">
        <f t="shared" si="2"/>
        <v>7170000</v>
      </c>
      <c r="K120" s="1">
        <v>260700</v>
      </c>
      <c r="L120" s="23">
        <v>1.5</v>
      </c>
      <c r="M120" s="23">
        <v>101.622</v>
      </c>
    </row>
    <row r="121" spans="1:13" x14ac:dyDescent="0.2">
      <c r="A121" s="1" t="s">
        <v>170</v>
      </c>
      <c r="B121" s="1" t="s">
        <v>172</v>
      </c>
      <c r="C121" s="1">
        <v>2003</v>
      </c>
      <c r="D121" s="1" t="s">
        <v>174</v>
      </c>
      <c r="E121" s="1" t="s">
        <v>177</v>
      </c>
      <c r="F121" s="1">
        <v>2006</v>
      </c>
      <c r="G121" s="1" t="s">
        <v>331</v>
      </c>
      <c r="H121" s="1">
        <v>375000</v>
      </c>
      <c r="I121" s="1">
        <v>2.5</v>
      </c>
      <c r="J121" s="1">
        <f t="shared" ref="J121:J186" si="3">J120-H121</f>
        <v>6795000</v>
      </c>
      <c r="K121" s="1">
        <v>252630</v>
      </c>
      <c r="L121" s="23">
        <v>1.9</v>
      </c>
      <c r="M121" s="23">
        <v>101.857</v>
      </c>
    </row>
    <row r="122" spans="1:13" x14ac:dyDescent="0.2">
      <c r="A122" s="1" t="s">
        <v>170</v>
      </c>
      <c r="B122" s="1" t="s">
        <v>172</v>
      </c>
      <c r="C122" s="1">
        <v>2003</v>
      </c>
      <c r="D122" s="1" t="s">
        <v>174</v>
      </c>
      <c r="E122" s="1" t="s">
        <v>177</v>
      </c>
      <c r="F122" s="1">
        <v>2007</v>
      </c>
      <c r="G122" s="1" t="s">
        <v>331</v>
      </c>
      <c r="H122" s="1">
        <v>380000</v>
      </c>
      <c r="I122" s="1">
        <v>2.25</v>
      </c>
      <c r="J122" s="1">
        <f t="shared" si="3"/>
        <v>6415000</v>
      </c>
      <c r="K122" s="1">
        <v>243255</v>
      </c>
      <c r="L122" s="23">
        <v>2.38</v>
      </c>
      <c r="M122" s="23">
        <v>99.48</v>
      </c>
    </row>
    <row r="123" spans="1:13" x14ac:dyDescent="0.2">
      <c r="A123" s="1" t="s">
        <v>170</v>
      </c>
      <c r="B123" s="1" t="s">
        <v>172</v>
      </c>
      <c r="C123" s="1">
        <v>2003</v>
      </c>
      <c r="D123" s="1" t="s">
        <v>174</v>
      </c>
      <c r="E123" s="1" t="s">
        <v>177</v>
      </c>
      <c r="F123" s="1">
        <v>2008</v>
      </c>
      <c r="G123" s="1" t="s">
        <v>331</v>
      </c>
      <c r="H123" s="1">
        <v>395000</v>
      </c>
      <c r="I123" s="1">
        <v>2.6</v>
      </c>
      <c r="J123" s="1">
        <f t="shared" si="3"/>
        <v>6020000</v>
      </c>
      <c r="K123" s="1">
        <v>234705</v>
      </c>
      <c r="L123" s="23">
        <v>2.7</v>
      </c>
      <c r="M123" s="23">
        <v>99.515000000000001</v>
      </c>
    </row>
    <row r="124" spans="1:13" x14ac:dyDescent="0.2">
      <c r="A124" s="1" t="s">
        <v>170</v>
      </c>
      <c r="B124" s="1" t="s">
        <v>172</v>
      </c>
      <c r="C124" s="1">
        <v>2003</v>
      </c>
      <c r="D124" s="1" t="s">
        <v>174</v>
      </c>
      <c r="E124" s="1" t="s">
        <v>177</v>
      </c>
      <c r="F124" s="1">
        <v>2009</v>
      </c>
      <c r="G124" s="1" t="s">
        <v>331</v>
      </c>
      <c r="H124" s="1">
        <v>400000</v>
      </c>
      <c r="I124" s="1">
        <v>3</v>
      </c>
      <c r="J124" s="1">
        <f t="shared" si="3"/>
        <v>5620000</v>
      </c>
      <c r="K124" s="1">
        <v>224435</v>
      </c>
      <c r="L124" s="23">
        <v>3.05</v>
      </c>
      <c r="M124" s="23">
        <v>99.715999999999994</v>
      </c>
    </row>
    <row r="125" spans="1:13" x14ac:dyDescent="0.2">
      <c r="A125" s="1" t="s">
        <v>170</v>
      </c>
      <c r="B125" s="1" t="s">
        <v>172</v>
      </c>
      <c r="C125" s="1">
        <v>2003</v>
      </c>
      <c r="D125" s="1" t="s">
        <v>174</v>
      </c>
      <c r="E125" s="1" t="s">
        <v>177</v>
      </c>
      <c r="F125" s="1">
        <v>2010</v>
      </c>
      <c r="G125" s="1" t="s">
        <v>331</v>
      </c>
      <c r="H125" s="1">
        <v>410000</v>
      </c>
      <c r="I125" s="1">
        <v>3.3</v>
      </c>
      <c r="J125" s="1">
        <f t="shared" si="3"/>
        <v>5210000</v>
      </c>
      <c r="K125" s="1">
        <v>212435</v>
      </c>
      <c r="L125" s="23">
        <v>3.3</v>
      </c>
      <c r="M125" s="23">
        <v>99.361999999999995</v>
      </c>
    </row>
    <row r="126" spans="1:13" x14ac:dyDescent="0.2">
      <c r="A126" s="1" t="s">
        <v>170</v>
      </c>
      <c r="B126" s="1" t="s">
        <v>172</v>
      </c>
      <c r="C126" s="1">
        <v>2003</v>
      </c>
      <c r="D126" s="1" t="s">
        <v>174</v>
      </c>
      <c r="E126" s="1" t="s">
        <v>177</v>
      </c>
      <c r="F126" s="1">
        <v>2011</v>
      </c>
      <c r="G126" s="1" t="s">
        <v>331</v>
      </c>
      <c r="H126" s="1">
        <v>965000</v>
      </c>
      <c r="I126" s="1">
        <v>3.6</v>
      </c>
      <c r="J126" s="1">
        <f t="shared" si="3"/>
        <v>4245000</v>
      </c>
      <c r="K126" s="1">
        <v>198905</v>
      </c>
      <c r="L126" s="23">
        <v>3.6</v>
      </c>
      <c r="M126" s="23">
        <v>99.644000000000005</v>
      </c>
    </row>
    <row r="127" spans="1:13" x14ac:dyDescent="0.2">
      <c r="A127" s="1" t="s">
        <v>170</v>
      </c>
      <c r="B127" s="1" t="s">
        <v>172</v>
      </c>
      <c r="C127" s="1">
        <v>2003</v>
      </c>
      <c r="D127" s="1" t="s">
        <v>174</v>
      </c>
      <c r="E127" s="1" t="s">
        <v>177</v>
      </c>
      <c r="F127" s="1">
        <v>2012</v>
      </c>
      <c r="G127" s="1" t="s">
        <v>331</v>
      </c>
      <c r="H127" s="1">
        <v>1005000</v>
      </c>
      <c r="I127" s="1">
        <v>3.7</v>
      </c>
      <c r="J127" s="1">
        <f t="shared" si="3"/>
        <v>3240000</v>
      </c>
      <c r="K127" s="1">
        <v>164165</v>
      </c>
      <c r="L127" s="23">
        <v>3.7</v>
      </c>
      <c r="M127" s="23">
        <v>99.224000000000004</v>
      </c>
    </row>
    <row r="128" spans="1:13" x14ac:dyDescent="0.2">
      <c r="A128" s="1" t="s">
        <v>170</v>
      </c>
      <c r="B128" s="1" t="s">
        <v>172</v>
      </c>
      <c r="C128" s="1">
        <v>2003</v>
      </c>
      <c r="D128" s="1" t="s">
        <v>174</v>
      </c>
      <c r="E128" s="1" t="s">
        <v>177</v>
      </c>
      <c r="F128" s="1">
        <v>2013</v>
      </c>
      <c r="G128" s="1" t="s">
        <v>331</v>
      </c>
      <c r="H128" s="1">
        <v>1040000</v>
      </c>
      <c r="I128" s="1">
        <v>3.8</v>
      </c>
      <c r="J128" s="1">
        <f t="shared" si="3"/>
        <v>2200000</v>
      </c>
      <c r="K128" s="1">
        <v>126980</v>
      </c>
      <c r="L128" s="23">
        <v>3.8</v>
      </c>
      <c r="M128" s="23">
        <v>98.745000000000005</v>
      </c>
    </row>
    <row r="129" spans="1:13" x14ac:dyDescent="0.2">
      <c r="A129" s="1" t="s">
        <v>170</v>
      </c>
      <c r="B129" s="1" t="s">
        <v>172</v>
      </c>
      <c r="C129" s="1">
        <v>2003</v>
      </c>
      <c r="D129" s="1" t="s">
        <v>174</v>
      </c>
      <c r="E129" s="1" t="s">
        <v>177</v>
      </c>
      <c r="F129" s="1">
        <v>2014</v>
      </c>
      <c r="G129" s="1" t="s">
        <v>331</v>
      </c>
      <c r="H129" s="1">
        <v>1080000</v>
      </c>
      <c r="I129" s="1">
        <v>3.95</v>
      </c>
      <c r="J129" s="1">
        <f t="shared" si="3"/>
        <v>1120000</v>
      </c>
      <c r="K129" s="1">
        <v>87460</v>
      </c>
      <c r="L129" s="23">
        <v>3.95</v>
      </c>
      <c r="M129" s="23">
        <v>99.100999999999999</v>
      </c>
    </row>
    <row r="130" spans="1:13" x14ac:dyDescent="0.2">
      <c r="A130" s="1" t="s">
        <v>170</v>
      </c>
      <c r="B130" s="1" t="s">
        <v>172</v>
      </c>
      <c r="C130" s="1">
        <v>2003</v>
      </c>
      <c r="D130" s="1" t="s">
        <v>174</v>
      </c>
      <c r="E130" s="1" t="s">
        <v>177</v>
      </c>
      <c r="F130" s="1">
        <v>2015</v>
      </c>
      <c r="G130" s="1" t="s">
        <v>331</v>
      </c>
      <c r="H130" s="1">
        <v>1120000</v>
      </c>
      <c r="I130" s="1">
        <v>4</v>
      </c>
      <c r="J130" s="1">
        <f t="shared" si="3"/>
        <v>0</v>
      </c>
      <c r="K130" s="1">
        <v>44800</v>
      </c>
      <c r="L130" s="23">
        <v>4</v>
      </c>
      <c r="M130" s="23">
        <v>98.569000000000003</v>
      </c>
    </row>
    <row r="131" spans="1:13" x14ac:dyDescent="0.2">
      <c r="A131" s="1" t="s">
        <v>170</v>
      </c>
      <c r="B131" s="1" t="s">
        <v>172</v>
      </c>
      <c r="C131" s="1">
        <v>2004</v>
      </c>
      <c r="D131" s="1" t="s">
        <v>174</v>
      </c>
      <c r="E131" s="1" t="s">
        <v>178</v>
      </c>
      <c r="F131" s="1">
        <v>2004</v>
      </c>
      <c r="G131" s="1" t="s">
        <v>331</v>
      </c>
      <c r="H131" s="1">
        <v>0</v>
      </c>
      <c r="I131" s="23" t="s">
        <v>176</v>
      </c>
      <c r="J131" s="1">
        <v>5640000</v>
      </c>
      <c r="K131" s="1">
        <v>112406</v>
      </c>
      <c r="L131" s="23" t="s">
        <v>176</v>
      </c>
      <c r="M131" s="23" t="s">
        <v>176</v>
      </c>
    </row>
    <row r="132" spans="1:13" x14ac:dyDescent="0.2">
      <c r="A132" s="1" t="s">
        <v>170</v>
      </c>
      <c r="B132" s="1" t="s">
        <v>172</v>
      </c>
      <c r="C132" s="1">
        <v>2004</v>
      </c>
      <c r="D132" s="1" t="s">
        <v>174</v>
      </c>
      <c r="E132" s="1" t="s">
        <v>178</v>
      </c>
      <c r="F132" s="1">
        <v>2005</v>
      </c>
      <c r="G132" s="1" t="s">
        <v>331</v>
      </c>
      <c r="H132" s="1">
        <v>25000</v>
      </c>
      <c r="I132" s="23" t="s">
        <v>176</v>
      </c>
      <c r="J132" s="1">
        <f t="shared" si="3"/>
        <v>5615000</v>
      </c>
      <c r="K132" s="1">
        <v>246745</v>
      </c>
      <c r="L132" s="23" t="s">
        <v>176</v>
      </c>
      <c r="M132" s="23" t="s">
        <v>176</v>
      </c>
    </row>
    <row r="133" spans="1:13" x14ac:dyDescent="0.2">
      <c r="A133" s="1" t="s">
        <v>170</v>
      </c>
      <c r="B133" s="1" t="s">
        <v>172</v>
      </c>
      <c r="C133" s="1">
        <v>2004</v>
      </c>
      <c r="D133" s="1" t="s">
        <v>174</v>
      </c>
      <c r="E133" s="1" t="s">
        <v>178</v>
      </c>
      <c r="F133" s="1">
        <v>2006</v>
      </c>
      <c r="G133" s="1" t="s">
        <v>331</v>
      </c>
      <c r="H133" s="1">
        <v>15000</v>
      </c>
      <c r="I133" s="23" t="s">
        <v>176</v>
      </c>
      <c r="J133" s="1">
        <f t="shared" si="3"/>
        <v>5600000</v>
      </c>
      <c r="K133" s="1">
        <v>245895</v>
      </c>
      <c r="L133" s="23" t="s">
        <v>176</v>
      </c>
      <c r="M133" s="23" t="s">
        <v>176</v>
      </c>
    </row>
    <row r="134" spans="1:13" x14ac:dyDescent="0.2">
      <c r="A134" s="1" t="s">
        <v>170</v>
      </c>
      <c r="B134" s="1" t="s">
        <v>172</v>
      </c>
      <c r="C134" s="1">
        <v>2004</v>
      </c>
      <c r="D134" s="1" t="s">
        <v>174</v>
      </c>
      <c r="E134" s="1" t="s">
        <v>178</v>
      </c>
      <c r="F134" s="1">
        <v>2007</v>
      </c>
      <c r="G134" s="1" t="s">
        <v>331</v>
      </c>
      <c r="H134" s="1">
        <v>20000</v>
      </c>
      <c r="I134" s="23" t="s">
        <v>176</v>
      </c>
      <c r="J134" s="1">
        <f t="shared" si="3"/>
        <v>5580000</v>
      </c>
      <c r="K134" s="1">
        <v>245385</v>
      </c>
      <c r="L134" s="23" t="s">
        <v>176</v>
      </c>
      <c r="M134" s="23" t="s">
        <v>176</v>
      </c>
    </row>
    <row r="135" spans="1:13" x14ac:dyDescent="0.2">
      <c r="A135" s="1" t="s">
        <v>170</v>
      </c>
      <c r="B135" s="1" t="s">
        <v>172</v>
      </c>
      <c r="C135" s="1">
        <v>2004</v>
      </c>
      <c r="D135" s="1" t="s">
        <v>174</v>
      </c>
      <c r="E135" s="1" t="s">
        <v>178</v>
      </c>
      <c r="F135" s="1">
        <v>2008</v>
      </c>
      <c r="G135" s="1" t="s">
        <v>331</v>
      </c>
      <c r="H135" s="1">
        <v>10000</v>
      </c>
      <c r="I135" s="23" t="s">
        <v>176</v>
      </c>
      <c r="J135" s="1">
        <f t="shared" si="3"/>
        <v>5570000</v>
      </c>
      <c r="K135" s="1">
        <v>244705</v>
      </c>
      <c r="L135" s="23" t="s">
        <v>176</v>
      </c>
      <c r="M135" s="23" t="s">
        <v>176</v>
      </c>
    </row>
    <row r="136" spans="1:13" x14ac:dyDescent="0.2">
      <c r="A136" s="1" t="s">
        <v>170</v>
      </c>
      <c r="B136" s="1" t="s">
        <v>172</v>
      </c>
      <c r="C136" s="1">
        <v>2004</v>
      </c>
      <c r="D136" s="1" t="s">
        <v>174</v>
      </c>
      <c r="E136" s="1" t="s">
        <v>178</v>
      </c>
      <c r="F136" s="1">
        <v>2009</v>
      </c>
      <c r="G136" s="1" t="s">
        <v>331</v>
      </c>
      <c r="H136" s="1">
        <v>15000</v>
      </c>
      <c r="I136" s="23" t="s">
        <v>176</v>
      </c>
      <c r="J136" s="1">
        <f t="shared" si="3"/>
        <v>5555000</v>
      </c>
      <c r="K136" s="1">
        <v>244365</v>
      </c>
      <c r="L136" s="23" t="s">
        <v>176</v>
      </c>
      <c r="M136" s="23" t="s">
        <v>176</v>
      </c>
    </row>
    <row r="137" spans="1:13" x14ac:dyDescent="0.2">
      <c r="A137" s="1" t="s">
        <v>170</v>
      </c>
      <c r="B137" s="1" t="s">
        <v>172</v>
      </c>
      <c r="C137" s="1">
        <v>2004</v>
      </c>
      <c r="D137" s="1" t="s">
        <v>174</v>
      </c>
      <c r="E137" s="1" t="s">
        <v>178</v>
      </c>
      <c r="F137" s="1">
        <v>2010</v>
      </c>
      <c r="G137" s="1" t="s">
        <v>331</v>
      </c>
      <c r="H137" s="1">
        <v>15000</v>
      </c>
      <c r="I137" s="23">
        <v>3.4</v>
      </c>
      <c r="J137" s="1">
        <f t="shared" si="3"/>
        <v>5540000</v>
      </c>
      <c r="K137" s="1">
        <v>243855</v>
      </c>
      <c r="L137" s="23">
        <v>3.47</v>
      </c>
      <c r="M137" s="23">
        <v>99.597999999999999</v>
      </c>
    </row>
    <row r="138" spans="1:13" x14ac:dyDescent="0.2">
      <c r="A138" s="1" t="s">
        <v>170</v>
      </c>
      <c r="B138" s="1" t="s">
        <v>172</v>
      </c>
      <c r="C138" s="1">
        <v>2004</v>
      </c>
      <c r="D138" s="1" t="s">
        <v>174</v>
      </c>
      <c r="E138" s="1" t="s">
        <v>177</v>
      </c>
      <c r="F138" s="1">
        <v>2011</v>
      </c>
      <c r="G138" s="1" t="s">
        <v>331</v>
      </c>
      <c r="H138" s="1">
        <v>0</v>
      </c>
      <c r="I138" s="23" t="s">
        <v>176</v>
      </c>
      <c r="J138" s="1">
        <f t="shared" si="3"/>
        <v>5540000</v>
      </c>
      <c r="K138" s="1">
        <v>243345</v>
      </c>
      <c r="L138" s="23" t="s">
        <v>176</v>
      </c>
      <c r="M138" s="23" t="s">
        <v>176</v>
      </c>
    </row>
    <row r="139" spans="1:13" x14ac:dyDescent="0.2">
      <c r="A139" s="1" t="s">
        <v>170</v>
      </c>
      <c r="B139" s="1" t="s">
        <v>172</v>
      </c>
      <c r="C139" s="1">
        <v>2004</v>
      </c>
      <c r="D139" s="1" t="s">
        <v>174</v>
      </c>
      <c r="E139" s="1" t="s">
        <v>177</v>
      </c>
      <c r="F139" s="1">
        <v>2012</v>
      </c>
      <c r="G139" s="1" t="s">
        <v>331</v>
      </c>
      <c r="H139" s="1">
        <v>0</v>
      </c>
      <c r="I139" s="23" t="s">
        <v>176</v>
      </c>
      <c r="J139" s="1">
        <f t="shared" si="3"/>
        <v>5540000</v>
      </c>
      <c r="K139" s="1">
        <v>243345</v>
      </c>
      <c r="L139" s="23" t="s">
        <v>176</v>
      </c>
      <c r="M139" s="23" t="s">
        <v>176</v>
      </c>
    </row>
    <row r="140" spans="1:13" x14ac:dyDescent="0.2">
      <c r="A140" s="1" t="s">
        <v>170</v>
      </c>
      <c r="B140" s="1" t="s">
        <v>172</v>
      </c>
      <c r="C140" s="1">
        <v>2004</v>
      </c>
      <c r="D140" s="1" t="s">
        <v>174</v>
      </c>
      <c r="E140" s="1" t="s">
        <v>177</v>
      </c>
      <c r="F140" s="1">
        <v>2013</v>
      </c>
      <c r="G140" s="1" t="s">
        <v>331</v>
      </c>
      <c r="H140" s="1">
        <v>0</v>
      </c>
      <c r="I140" s="23" t="s">
        <v>176</v>
      </c>
      <c r="J140" s="1">
        <f t="shared" si="3"/>
        <v>5540000</v>
      </c>
      <c r="K140" s="1">
        <v>243345</v>
      </c>
      <c r="L140" s="23" t="s">
        <v>176</v>
      </c>
      <c r="M140" s="23" t="s">
        <v>176</v>
      </c>
    </row>
    <row r="141" spans="1:13" x14ac:dyDescent="0.2">
      <c r="A141" s="1" t="s">
        <v>170</v>
      </c>
      <c r="B141" s="1" t="s">
        <v>172</v>
      </c>
      <c r="C141" s="1">
        <v>2004</v>
      </c>
      <c r="D141" s="1" t="s">
        <v>174</v>
      </c>
      <c r="E141" s="1" t="s">
        <v>177</v>
      </c>
      <c r="F141" s="1">
        <v>2014</v>
      </c>
      <c r="G141" s="1" t="s">
        <v>331</v>
      </c>
      <c r="H141" s="1">
        <v>0</v>
      </c>
      <c r="I141" s="23" t="s">
        <v>176</v>
      </c>
      <c r="J141" s="1">
        <f t="shared" si="3"/>
        <v>5540000</v>
      </c>
      <c r="K141" s="1">
        <v>243345</v>
      </c>
      <c r="L141" s="23" t="s">
        <v>176</v>
      </c>
      <c r="M141" s="23" t="s">
        <v>176</v>
      </c>
    </row>
    <row r="142" spans="1:13" x14ac:dyDescent="0.2">
      <c r="A142" s="1" t="s">
        <v>170</v>
      </c>
      <c r="B142" s="1" t="s">
        <v>172</v>
      </c>
      <c r="C142" s="1">
        <v>2004</v>
      </c>
      <c r="D142" s="1" t="s">
        <v>174</v>
      </c>
      <c r="E142" s="1" t="s">
        <v>177</v>
      </c>
      <c r="F142" s="1">
        <v>2015</v>
      </c>
      <c r="G142" s="1" t="s">
        <v>331</v>
      </c>
      <c r="H142" s="1">
        <v>0</v>
      </c>
      <c r="I142" s="23" t="s">
        <v>176</v>
      </c>
      <c r="J142" s="1">
        <f t="shared" si="3"/>
        <v>5540000</v>
      </c>
      <c r="K142" s="1">
        <v>243345</v>
      </c>
      <c r="L142" s="23" t="s">
        <v>176</v>
      </c>
      <c r="M142" s="23" t="s">
        <v>176</v>
      </c>
    </row>
    <row r="143" spans="1:13" x14ac:dyDescent="0.2">
      <c r="A143" s="1" t="s">
        <v>170</v>
      </c>
      <c r="B143" s="1" t="s">
        <v>172</v>
      </c>
      <c r="C143" s="1">
        <v>2004</v>
      </c>
      <c r="D143" s="1" t="s">
        <v>174</v>
      </c>
      <c r="E143" s="1" t="s">
        <v>177</v>
      </c>
      <c r="F143" s="1">
        <v>2016</v>
      </c>
      <c r="G143" s="1" t="s">
        <v>331</v>
      </c>
      <c r="H143" s="1">
        <v>1165000</v>
      </c>
      <c r="I143" s="23" t="s">
        <v>176</v>
      </c>
      <c r="J143" s="1">
        <f t="shared" si="3"/>
        <v>4375000</v>
      </c>
      <c r="K143" s="1">
        <v>243345</v>
      </c>
      <c r="L143" s="23">
        <v>4.32</v>
      </c>
      <c r="M143" s="23">
        <v>98.852999999999994</v>
      </c>
    </row>
    <row r="144" spans="1:13" x14ac:dyDescent="0.2">
      <c r="A144" s="1" t="s">
        <v>170</v>
      </c>
      <c r="B144" s="1" t="s">
        <v>172</v>
      </c>
      <c r="C144" s="1">
        <v>2004</v>
      </c>
      <c r="D144" s="1" t="s">
        <v>174</v>
      </c>
      <c r="E144" s="1" t="s">
        <v>177</v>
      </c>
      <c r="F144" s="1">
        <v>2017</v>
      </c>
      <c r="G144" s="1" t="s">
        <v>331</v>
      </c>
      <c r="H144" s="1">
        <v>1215000</v>
      </c>
      <c r="I144" s="23" t="s">
        <v>176</v>
      </c>
      <c r="J144" s="1">
        <f t="shared" si="3"/>
        <v>3160000</v>
      </c>
      <c r="K144" s="1">
        <v>194415</v>
      </c>
      <c r="L144" s="23">
        <v>4.42</v>
      </c>
      <c r="M144" s="23">
        <v>98.790999999999997</v>
      </c>
    </row>
    <row r="145" spans="1:13" x14ac:dyDescent="0.2">
      <c r="A145" s="1" t="s">
        <v>170</v>
      </c>
      <c r="B145" s="1" t="s">
        <v>172</v>
      </c>
      <c r="C145" s="1">
        <v>2004</v>
      </c>
      <c r="D145" s="1" t="s">
        <v>174</v>
      </c>
      <c r="E145" s="1" t="s">
        <v>177</v>
      </c>
      <c r="F145" s="1">
        <v>2018</v>
      </c>
      <c r="G145" s="1" t="s">
        <v>331</v>
      </c>
      <c r="H145" s="1">
        <v>1265000</v>
      </c>
      <c r="I145" s="23" t="s">
        <v>176</v>
      </c>
      <c r="J145" s="1">
        <f t="shared" si="3"/>
        <v>1895000</v>
      </c>
      <c r="K145" s="1">
        <v>142170</v>
      </c>
      <c r="L145" s="23">
        <v>4.5199999999999996</v>
      </c>
      <c r="M145" s="23">
        <v>98.734999999999999</v>
      </c>
    </row>
    <row r="146" spans="1:13" x14ac:dyDescent="0.2">
      <c r="A146" s="1" t="s">
        <v>170</v>
      </c>
      <c r="B146" s="1" t="s">
        <v>172</v>
      </c>
      <c r="C146" s="1">
        <v>2004</v>
      </c>
      <c r="D146" s="1" t="s">
        <v>174</v>
      </c>
      <c r="E146" s="1" t="s">
        <v>177</v>
      </c>
      <c r="F146" s="1">
        <v>2019</v>
      </c>
      <c r="G146" s="1" t="s">
        <v>331</v>
      </c>
      <c r="H146" s="1">
        <v>1320000</v>
      </c>
      <c r="I146" s="23" t="s">
        <v>176</v>
      </c>
      <c r="J146" s="1">
        <f t="shared" si="3"/>
        <v>575000</v>
      </c>
      <c r="K146" s="1">
        <v>86510</v>
      </c>
      <c r="L146" s="23">
        <v>4.62</v>
      </c>
      <c r="M146" s="23">
        <v>99.23</v>
      </c>
    </row>
    <row r="147" spans="1:13" x14ac:dyDescent="0.2">
      <c r="A147" s="1" t="s">
        <v>170</v>
      </c>
      <c r="B147" s="1" t="s">
        <v>172</v>
      </c>
      <c r="C147" s="1">
        <v>2004</v>
      </c>
      <c r="D147" s="1" t="s">
        <v>174</v>
      </c>
      <c r="E147" s="1" t="s">
        <v>177</v>
      </c>
      <c r="F147" s="1">
        <v>2020</v>
      </c>
      <c r="G147" s="1" t="s">
        <v>331</v>
      </c>
      <c r="H147" s="1">
        <v>575000</v>
      </c>
      <c r="I147" s="23" t="s">
        <v>176</v>
      </c>
      <c r="J147" s="1">
        <f t="shared" si="3"/>
        <v>0</v>
      </c>
      <c r="K147" s="1">
        <v>26450</v>
      </c>
      <c r="L147" s="23">
        <v>4.66</v>
      </c>
      <c r="M147" s="23">
        <v>99.313000000000002</v>
      </c>
    </row>
    <row r="148" spans="1:13" x14ac:dyDescent="0.2">
      <c r="A148" s="1" t="s">
        <v>170</v>
      </c>
      <c r="B148" s="1" t="s">
        <v>172</v>
      </c>
      <c r="C148" s="1">
        <v>2005</v>
      </c>
      <c r="D148" s="1" t="s">
        <v>174</v>
      </c>
      <c r="E148" s="1" t="s">
        <v>177</v>
      </c>
      <c r="F148" s="1">
        <v>2005</v>
      </c>
      <c r="G148" s="1" t="s">
        <v>330</v>
      </c>
      <c r="H148" s="1">
        <v>0</v>
      </c>
      <c r="I148" s="1" t="s">
        <v>176</v>
      </c>
      <c r="J148" s="1">
        <f>5720000</f>
        <v>5720000</v>
      </c>
      <c r="K148" s="1">
        <v>158253</v>
      </c>
      <c r="L148" s="23" t="s">
        <v>176</v>
      </c>
      <c r="M148" s="23" t="s">
        <v>176</v>
      </c>
    </row>
    <row r="149" spans="1:13" x14ac:dyDescent="0.2">
      <c r="A149" s="1" t="s">
        <v>170</v>
      </c>
      <c r="B149" s="1" t="s">
        <v>172</v>
      </c>
      <c r="C149" s="1">
        <v>2005</v>
      </c>
      <c r="D149" s="1" t="s">
        <v>174</v>
      </c>
      <c r="E149" s="1" t="s">
        <v>177</v>
      </c>
      <c r="F149" s="1">
        <v>2006</v>
      </c>
      <c r="G149" s="1" t="s">
        <v>330</v>
      </c>
      <c r="H149" s="1">
        <v>205000</v>
      </c>
      <c r="I149" s="1">
        <v>3</v>
      </c>
      <c r="J149" s="1">
        <f t="shared" si="3"/>
        <v>5515000</v>
      </c>
      <c r="K149" s="1">
        <v>211003</v>
      </c>
      <c r="L149" s="23">
        <v>2.2000000000000002</v>
      </c>
      <c r="M149" s="23">
        <v>101.32899999999999</v>
      </c>
    </row>
    <row r="150" spans="1:13" x14ac:dyDescent="0.2">
      <c r="A150" s="1" t="s">
        <v>170</v>
      </c>
      <c r="B150" s="1" t="s">
        <v>172</v>
      </c>
      <c r="C150" s="1">
        <v>2005</v>
      </c>
      <c r="D150" s="1" t="s">
        <v>174</v>
      </c>
      <c r="E150" s="1" t="s">
        <v>177</v>
      </c>
      <c r="F150" s="1">
        <v>2007</v>
      </c>
      <c r="G150" s="1" t="s">
        <v>330</v>
      </c>
      <c r="H150" s="1">
        <v>210000</v>
      </c>
      <c r="I150" s="1">
        <v>3</v>
      </c>
      <c r="J150" s="1">
        <f t="shared" si="3"/>
        <v>5305000</v>
      </c>
      <c r="K150" s="1">
        <v>204854</v>
      </c>
      <c r="L150" s="23">
        <v>2.4</v>
      </c>
      <c r="M150" s="23">
        <v>101.56</v>
      </c>
    </row>
    <row r="151" spans="1:13" x14ac:dyDescent="0.2">
      <c r="A151" s="1" t="s">
        <v>170</v>
      </c>
      <c r="B151" s="1" t="s">
        <v>172</v>
      </c>
      <c r="C151" s="1">
        <v>2005</v>
      </c>
      <c r="D151" s="1" t="s">
        <v>174</v>
      </c>
      <c r="E151" s="1" t="s">
        <v>177</v>
      </c>
      <c r="F151" s="1">
        <v>2008</v>
      </c>
      <c r="G151" s="1" t="s">
        <v>330</v>
      </c>
      <c r="H151" s="1">
        <v>220000</v>
      </c>
      <c r="I151" s="1">
        <v>2.375</v>
      </c>
      <c r="J151" s="1">
        <f t="shared" si="3"/>
        <v>5085000</v>
      </c>
      <c r="K151" s="1">
        <v>198553</v>
      </c>
      <c r="L151" s="23">
        <v>2.6</v>
      </c>
      <c r="M151" s="23">
        <v>99.207999999999998</v>
      </c>
    </row>
    <row r="152" spans="1:13" x14ac:dyDescent="0.2">
      <c r="A152" s="1" t="s">
        <v>170</v>
      </c>
      <c r="B152" s="1" t="s">
        <v>172</v>
      </c>
      <c r="C152" s="1">
        <v>2005</v>
      </c>
      <c r="D152" s="1" t="s">
        <v>174</v>
      </c>
      <c r="E152" s="1" t="s">
        <v>177</v>
      </c>
      <c r="F152" s="1">
        <v>2009</v>
      </c>
      <c r="G152" s="1" t="s">
        <v>330</v>
      </c>
      <c r="H152" s="1">
        <v>225000</v>
      </c>
      <c r="I152" s="1">
        <v>2.5</v>
      </c>
      <c r="J152" s="1">
        <f t="shared" si="3"/>
        <v>4860000</v>
      </c>
      <c r="K152" s="1">
        <v>193329</v>
      </c>
      <c r="L152" s="23">
        <v>2.75</v>
      </c>
      <c r="M152" s="23">
        <v>98.900999999999996</v>
      </c>
    </row>
    <row r="153" spans="1:13" x14ac:dyDescent="0.2">
      <c r="A153" s="1" t="s">
        <v>170</v>
      </c>
      <c r="B153" s="1" t="s">
        <v>172</v>
      </c>
      <c r="C153" s="1">
        <v>2005</v>
      </c>
      <c r="D153" s="1" t="s">
        <v>174</v>
      </c>
      <c r="E153" s="1" t="s">
        <v>177</v>
      </c>
      <c r="F153" s="1">
        <v>2010</v>
      </c>
      <c r="G153" s="1" t="s">
        <v>330</v>
      </c>
      <c r="H153" s="1">
        <v>230000</v>
      </c>
      <c r="I153" s="1">
        <v>3.5</v>
      </c>
      <c r="J153" s="1">
        <f t="shared" si="3"/>
        <v>4630000</v>
      </c>
      <c r="K153" s="1">
        <v>187704</v>
      </c>
      <c r="L153" s="23">
        <v>2.95</v>
      </c>
      <c r="M153" s="23">
        <v>102.86499999999999</v>
      </c>
    </row>
    <row r="154" spans="1:13" x14ac:dyDescent="0.2">
      <c r="A154" s="1" t="s">
        <v>170</v>
      </c>
      <c r="B154" s="1" t="s">
        <v>172</v>
      </c>
      <c r="C154" s="1">
        <v>2005</v>
      </c>
      <c r="D154" s="1" t="s">
        <v>174</v>
      </c>
      <c r="E154" s="1" t="s">
        <v>177</v>
      </c>
      <c r="F154" s="1">
        <v>2011</v>
      </c>
      <c r="G154" s="1" t="s">
        <v>330</v>
      </c>
      <c r="H154" s="1">
        <v>240000</v>
      </c>
      <c r="I154" s="1">
        <v>3</v>
      </c>
      <c r="J154" s="1">
        <f t="shared" si="3"/>
        <v>4390000</v>
      </c>
      <c r="K154" s="1">
        <v>179654</v>
      </c>
      <c r="L154" s="23">
        <v>3.2</v>
      </c>
      <c r="M154" s="23">
        <v>98.798000000000002</v>
      </c>
    </row>
    <row r="155" spans="1:13" x14ac:dyDescent="0.2">
      <c r="A155" s="1" t="s">
        <v>170</v>
      </c>
      <c r="B155" s="1" t="s">
        <v>172</v>
      </c>
      <c r="C155" s="1">
        <v>2005</v>
      </c>
      <c r="D155" s="1" t="s">
        <v>174</v>
      </c>
      <c r="E155" s="1" t="s">
        <v>177</v>
      </c>
      <c r="F155" s="1">
        <v>2012</v>
      </c>
      <c r="G155" s="1" t="s">
        <v>330</v>
      </c>
      <c r="H155" s="1">
        <v>245000</v>
      </c>
      <c r="I155" s="1">
        <v>3.25</v>
      </c>
      <c r="J155" s="1">
        <f t="shared" si="3"/>
        <v>4145000</v>
      </c>
      <c r="K155" s="1">
        <v>172454</v>
      </c>
      <c r="L155" s="23">
        <v>3.4</v>
      </c>
      <c r="M155" s="23">
        <v>98.986999999999995</v>
      </c>
    </row>
    <row r="156" spans="1:13" x14ac:dyDescent="0.2">
      <c r="A156" s="1" t="s">
        <v>170</v>
      </c>
      <c r="B156" s="1" t="s">
        <v>172</v>
      </c>
      <c r="C156" s="1">
        <v>2005</v>
      </c>
      <c r="D156" s="1" t="s">
        <v>174</v>
      </c>
      <c r="E156" s="1" t="s">
        <v>177</v>
      </c>
      <c r="F156" s="1">
        <v>2013</v>
      </c>
      <c r="G156" s="1" t="s">
        <v>330</v>
      </c>
      <c r="H156" s="1">
        <v>255000</v>
      </c>
      <c r="I156" s="1">
        <v>3.25</v>
      </c>
      <c r="J156" s="1">
        <f t="shared" si="3"/>
        <v>3890000</v>
      </c>
      <c r="K156" s="1">
        <v>164491</v>
      </c>
      <c r="L156" s="23">
        <v>3.55</v>
      </c>
      <c r="M156" s="23">
        <v>97.766000000000005</v>
      </c>
    </row>
    <row r="157" spans="1:13" x14ac:dyDescent="0.2">
      <c r="A157" s="1" t="s">
        <v>170</v>
      </c>
      <c r="B157" s="1" t="s">
        <v>172</v>
      </c>
      <c r="C157" s="1">
        <v>2005</v>
      </c>
      <c r="D157" s="1" t="s">
        <v>174</v>
      </c>
      <c r="E157" s="1" t="s">
        <v>177</v>
      </c>
      <c r="F157" s="1">
        <v>2014</v>
      </c>
      <c r="G157" s="1" t="s">
        <v>330</v>
      </c>
      <c r="H157" s="1">
        <v>260000</v>
      </c>
      <c r="I157" s="1">
        <v>3.5</v>
      </c>
      <c r="J157" s="1">
        <f t="shared" si="3"/>
        <v>3630000</v>
      </c>
      <c r="K157" s="1">
        <v>156204</v>
      </c>
      <c r="L157" s="23">
        <v>3.7</v>
      </c>
      <c r="M157" s="23">
        <v>98.376999999999995</v>
      </c>
    </row>
    <row r="158" spans="1:13" x14ac:dyDescent="0.2">
      <c r="A158" s="1" t="s">
        <v>170</v>
      </c>
      <c r="B158" s="1" t="s">
        <v>172</v>
      </c>
      <c r="C158" s="1">
        <v>2005</v>
      </c>
      <c r="D158" s="1" t="s">
        <v>174</v>
      </c>
      <c r="E158" s="1" t="s">
        <v>177</v>
      </c>
      <c r="F158" s="1">
        <v>2015</v>
      </c>
      <c r="G158" s="1" t="s">
        <v>330</v>
      </c>
      <c r="H158" s="1">
        <v>270000</v>
      </c>
      <c r="I158" s="1">
        <v>3.625</v>
      </c>
      <c r="J158" s="1">
        <f t="shared" si="3"/>
        <v>3360000</v>
      </c>
      <c r="K158" s="1">
        <v>147104</v>
      </c>
      <c r="L158" s="23">
        <v>3.8</v>
      </c>
      <c r="M158" s="23">
        <v>98.468000000000004</v>
      </c>
    </row>
    <row r="159" spans="1:13" x14ac:dyDescent="0.2">
      <c r="A159" s="1" t="s">
        <v>170</v>
      </c>
      <c r="B159" s="1" t="s">
        <v>172</v>
      </c>
      <c r="C159" s="1">
        <v>2005</v>
      </c>
      <c r="D159" s="1" t="s">
        <v>174</v>
      </c>
      <c r="E159" s="1" t="s">
        <v>177</v>
      </c>
      <c r="F159" s="1">
        <v>2016</v>
      </c>
      <c r="G159" s="1" t="s">
        <v>330</v>
      </c>
      <c r="H159" s="1">
        <v>280000</v>
      </c>
      <c r="I159" s="1">
        <v>3.7</v>
      </c>
      <c r="J159" s="1">
        <f t="shared" si="3"/>
        <v>3080000</v>
      </c>
      <c r="K159" s="1">
        <v>137316</v>
      </c>
      <c r="L159" s="23">
        <v>3.92</v>
      </c>
      <c r="M159" s="23">
        <v>97.945999999999998</v>
      </c>
    </row>
    <row r="160" spans="1:13" x14ac:dyDescent="0.2">
      <c r="A160" s="1" t="s">
        <v>170</v>
      </c>
      <c r="B160" s="1" t="s">
        <v>172</v>
      </c>
      <c r="C160" s="1">
        <v>2005</v>
      </c>
      <c r="D160" s="1" t="s">
        <v>174</v>
      </c>
      <c r="E160" s="1" t="s">
        <v>177</v>
      </c>
      <c r="F160" s="1">
        <v>2017</v>
      </c>
      <c r="G160" s="1" t="s">
        <v>330</v>
      </c>
      <c r="H160" s="1">
        <v>290000</v>
      </c>
      <c r="I160" s="1">
        <v>4</v>
      </c>
      <c r="J160" s="1">
        <f t="shared" si="3"/>
        <v>2790000</v>
      </c>
      <c r="K160" s="1">
        <v>126956</v>
      </c>
      <c r="L160" s="23">
        <v>4.04</v>
      </c>
      <c r="M160" s="23">
        <v>99.6</v>
      </c>
    </row>
    <row r="161" spans="1:13" x14ac:dyDescent="0.2">
      <c r="A161" s="1" t="s">
        <v>170</v>
      </c>
      <c r="B161" s="1" t="s">
        <v>172</v>
      </c>
      <c r="C161" s="1">
        <v>2005</v>
      </c>
      <c r="D161" s="1" t="s">
        <v>174</v>
      </c>
      <c r="E161" s="1" t="s">
        <v>177</v>
      </c>
      <c r="F161" s="1">
        <v>2018</v>
      </c>
      <c r="G161" s="1" t="s">
        <v>330</v>
      </c>
      <c r="H161" s="1">
        <v>300000</v>
      </c>
      <c r="I161" s="1">
        <v>4</v>
      </c>
      <c r="J161" s="1">
        <f t="shared" si="3"/>
        <v>2490000</v>
      </c>
      <c r="K161" s="1">
        <v>115356</v>
      </c>
      <c r="L161" s="23">
        <v>4.0999999999999996</v>
      </c>
      <c r="M161" s="23">
        <v>98.953999999999994</v>
      </c>
    </row>
    <row r="162" spans="1:13" x14ac:dyDescent="0.2">
      <c r="A162" s="1" t="s">
        <v>170</v>
      </c>
      <c r="B162" s="1" t="s">
        <v>172</v>
      </c>
      <c r="C162" s="1">
        <v>2005</v>
      </c>
      <c r="D162" s="1" t="s">
        <v>174</v>
      </c>
      <c r="E162" s="1" t="s">
        <v>177</v>
      </c>
      <c r="F162" s="1">
        <v>2019</v>
      </c>
      <c r="G162" s="1" t="s">
        <v>330</v>
      </c>
      <c r="H162" s="1">
        <v>315000</v>
      </c>
      <c r="I162" s="1">
        <v>4</v>
      </c>
      <c r="J162" s="1">
        <f t="shared" si="3"/>
        <v>2175000</v>
      </c>
      <c r="K162" s="1">
        <v>103356</v>
      </c>
      <c r="L162" s="23">
        <v>4.18</v>
      </c>
      <c r="M162" s="23">
        <v>98.031999999999996</v>
      </c>
    </row>
    <row r="163" spans="1:13" x14ac:dyDescent="0.2">
      <c r="A163" s="1" t="s">
        <v>170</v>
      </c>
      <c r="B163" s="1" t="s">
        <v>172</v>
      </c>
      <c r="C163" s="1">
        <v>2005</v>
      </c>
      <c r="D163" s="1" t="s">
        <v>174</v>
      </c>
      <c r="E163" s="1" t="s">
        <v>177</v>
      </c>
      <c r="F163" s="1">
        <v>2020</v>
      </c>
      <c r="G163" s="1" t="s">
        <v>330</v>
      </c>
      <c r="H163" s="1">
        <v>325000</v>
      </c>
      <c r="I163" s="1">
        <v>4</v>
      </c>
      <c r="J163" s="1">
        <f t="shared" si="3"/>
        <v>1850000</v>
      </c>
      <c r="K163" s="1">
        <v>90756</v>
      </c>
      <c r="L163" s="23">
        <v>4.25</v>
      </c>
      <c r="M163" s="23">
        <v>97.150999999999996</v>
      </c>
    </row>
    <row r="164" spans="1:13" x14ac:dyDescent="0.2">
      <c r="A164" s="1" t="s">
        <v>170</v>
      </c>
      <c r="B164" s="1" t="s">
        <v>172</v>
      </c>
      <c r="C164" s="1">
        <v>2005</v>
      </c>
      <c r="D164" s="1" t="s">
        <v>174</v>
      </c>
      <c r="E164" s="1" t="s">
        <v>177</v>
      </c>
      <c r="F164" s="1">
        <v>2021</v>
      </c>
      <c r="G164" s="1" t="s">
        <v>330</v>
      </c>
      <c r="H164" s="1">
        <v>340000</v>
      </c>
      <c r="I164" s="1">
        <v>4.125</v>
      </c>
      <c r="J164" s="1">
        <f t="shared" si="3"/>
        <v>1510000</v>
      </c>
      <c r="K164" s="1">
        <v>77756</v>
      </c>
      <c r="L164" s="23">
        <v>4.3</v>
      </c>
      <c r="M164" s="23">
        <v>97.924000000000007</v>
      </c>
    </row>
    <row r="165" spans="1:13" x14ac:dyDescent="0.2">
      <c r="A165" s="1" t="s">
        <v>170</v>
      </c>
      <c r="B165" s="1" t="s">
        <v>172</v>
      </c>
      <c r="C165" s="1">
        <v>2005</v>
      </c>
      <c r="D165" s="1" t="s">
        <v>174</v>
      </c>
      <c r="E165" s="1" t="s">
        <v>178</v>
      </c>
      <c r="F165" s="1">
        <v>2022</v>
      </c>
      <c r="G165" s="1" t="s">
        <v>330</v>
      </c>
      <c r="H165" s="1">
        <v>355000</v>
      </c>
      <c r="I165" s="1">
        <v>4.125</v>
      </c>
      <c r="J165" s="1">
        <f t="shared" si="3"/>
        <v>1155000</v>
      </c>
      <c r="K165" s="1">
        <v>63731</v>
      </c>
      <c r="L165" s="23">
        <v>4.3499999999999996</v>
      </c>
      <c r="M165" s="23">
        <v>97.236000000000004</v>
      </c>
    </row>
    <row r="166" spans="1:13" x14ac:dyDescent="0.2">
      <c r="A166" s="1" t="s">
        <v>170</v>
      </c>
      <c r="B166" s="1" t="s">
        <v>172</v>
      </c>
      <c r="C166" s="1">
        <v>2005</v>
      </c>
      <c r="D166" s="1" t="s">
        <v>174</v>
      </c>
      <c r="E166" s="1" t="s">
        <v>178</v>
      </c>
      <c r="F166" s="1">
        <v>2023</v>
      </c>
      <c r="G166" s="1" t="s">
        <v>330</v>
      </c>
      <c r="H166" s="1">
        <v>370000</v>
      </c>
      <c r="I166" s="1">
        <v>4.25</v>
      </c>
      <c r="J166" s="1">
        <f t="shared" si="3"/>
        <v>785000</v>
      </c>
      <c r="K166" s="1">
        <v>49087</v>
      </c>
      <c r="L166" s="23">
        <v>4.46</v>
      </c>
      <c r="M166" s="23">
        <v>97.174000000000007</v>
      </c>
    </row>
    <row r="167" spans="1:13" x14ac:dyDescent="0.2">
      <c r="A167" s="1" t="s">
        <v>170</v>
      </c>
      <c r="B167" s="1" t="s">
        <v>172</v>
      </c>
      <c r="C167" s="1">
        <v>2005</v>
      </c>
      <c r="D167" s="1" t="s">
        <v>174</v>
      </c>
      <c r="E167" s="1" t="s">
        <v>178</v>
      </c>
      <c r="F167" s="1">
        <v>2024</v>
      </c>
      <c r="G167" s="1" t="s">
        <v>330</v>
      </c>
      <c r="H167" s="1">
        <v>385000</v>
      </c>
      <c r="I167" s="1">
        <v>4.25</v>
      </c>
      <c r="J167" s="1">
        <f t="shared" si="3"/>
        <v>400000</v>
      </c>
      <c r="K167" s="1">
        <v>33362</v>
      </c>
      <c r="L167" s="23">
        <v>4.46</v>
      </c>
      <c r="M167" s="23">
        <v>97.174000000000007</v>
      </c>
    </row>
    <row r="168" spans="1:13" x14ac:dyDescent="0.2">
      <c r="A168" s="1" t="s">
        <v>170</v>
      </c>
      <c r="B168" s="1" t="s">
        <v>172</v>
      </c>
      <c r="C168" s="1">
        <v>2005</v>
      </c>
      <c r="D168" s="1" t="s">
        <v>174</v>
      </c>
      <c r="E168" s="1" t="s">
        <v>178</v>
      </c>
      <c r="F168" s="1">
        <v>2025</v>
      </c>
      <c r="G168" s="1" t="s">
        <v>330</v>
      </c>
      <c r="H168" s="1">
        <v>400000</v>
      </c>
      <c r="I168" s="1">
        <v>4.25</v>
      </c>
      <c r="J168" s="1">
        <f t="shared" si="3"/>
        <v>0</v>
      </c>
      <c r="K168" s="1">
        <v>17000</v>
      </c>
      <c r="L168" s="23">
        <v>4.46</v>
      </c>
      <c r="M168" s="23">
        <v>97.174000000000007</v>
      </c>
    </row>
    <row r="169" spans="1:13" x14ac:dyDescent="0.2">
      <c r="A169" s="1" t="s">
        <v>170</v>
      </c>
      <c r="B169" s="1" t="s">
        <v>172</v>
      </c>
      <c r="C169" s="1">
        <v>2006</v>
      </c>
      <c r="D169" s="1" t="s">
        <v>174</v>
      </c>
      <c r="E169" s="1" t="s">
        <v>177</v>
      </c>
      <c r="F169" s="1">
        <v>2007</v>
      </c>
      <c r="G169" s="1" t="s">
        <v>330</v>
      </c>
      <c r="H169" s="1">
        <v>755000</v>
      </c>
      <c r="I169" s="1">
        <v>4</v>
      </c>
      <c r="J169" s="1">
        <f>21660000-H169</f>
        <v>20905000</v>
      </c>
      <c r="K169" s="1">
        <v>909529</v>
      </c>
      <c r="L169" s="23">
        <v>3.55</v>
      </c>
      <c r="M169" s="23">
        <v>100.41200000000001</v>
      </c>
    </row>
    <row r="170" spans="1:13" x14ac:dyDescent="0.2">
      <c r="A170" s="1" t="s">
        <v>170</v>
      </c>
      <c r="B170" s="1" t="s">
        <v>172</v>
      </c>
      <c r="C170" s="1">
        <v>2006</v>
      </c>
      <c r="D170" s="1" t="s">
        <v>174</v>
      </c>
      <c r="E170" s="1" t="s">
        <v>177</v>
      </c>
      <c r="F170" s="1">
        <v>2008</v>
      </c>
      <c r="G170" s="1" t="s">
        <v>330</v>
      </c>
      <c r="H170" s="1">
        <v>750000</v>
      </c>
      <c r="I170" s="1">
        <v>4</v>
      </c>
      <c r="J170" s="1">
        <f t="shared" si="3"/>
        <v>20155000</v>
      </c>
      <c r="K170" s="1">
        <v>916131</v>
      </c>
      <c r="L170" s="23">
        <v>3.58</v>
      </c>
      <c r="M170" s="23">
        <v>100.78</v>
      </c>
    </row>
    <row r="171" spans="1:13" x14ac:dyDescent="0.2">
      <c r="A171" s="1" t="s">
        <v>170</v>
      </c>
      <c r="B171" s="1" t="s">
        <v>172</v>
      </c>
      <c r="C171" s="1">
        <v>2006</v>
      </c>
      <c r="D171" s="1" t="s">
        <v>174</v>
      </c>
      <c r="E171" s="1" t="s">
        <v>177</v>
      </c>
      <c r="F171" s="1">
        <v>2009</v>
      </c>
      <c r="G171" s="1" t="s">
        <v>330</v>
      </c>
      <c r="H171" s="1">
        <v>780000</v>
      </c>
      <c r="I171" s="1">
        <v>4</v>
      </c>
      <c r="J171" s="1">
        <f t="shared" si="3"/>
        <v>19375000</v>
      </c>
      <c r="K171" s="1">
        <v>886131</v>
      </c>
      <c r="L171" s="23">
        <v>3.6</v>
      </c>
      <c r="M171" s="23">
        <v>101.10599999999999</v>
      </c>
    </row>
    <row r="172" spans="1:13" x14ac:dyDescent="0.2">
      <c r="A172" s="1" t="s">
        <v>170</v>
      </c>
      <c r="B172" s="1" t="s">
        <v>172</v>
      </c>
      <c r="C172" s="1">
        <v>2006</v>
      </c>
      <c r="D172" s="1" t="s">
        <v>174</v>
      </c>
      <c r="E172" s="1" t="s">
        <v>177</v>
      </c>
      <c r="F172" s="1">
        <v>2010</v>
      </c>
      <c r="G172" s="1" t="s">
        <v>330</v>
      </c>
      <c r="H172" s="1">
        <v>805000</v>
      </c>
      <c r="I172" s="1">
        <v>4</v>
      </c>
      <c r="J172" s="1">
        <f t="shared" si="3"/>
        <v>18570000</v>
      </c>
      <c r="K172" s="1">
        <v>854931</v>
      </c>
      <c r="L172" s="23">
        <v>3.64</v>
      </c>
      <c r="M172" s="23">
        <v>101.309</v>
      </c>
    </row>
    <row r="173" spans="1:13" x14ac:dyDescent="0.2">
      <c r="A173" s="1" t="s">
        <v>170</v>
      </c>
      <c r="B173" s="1" t="s">
        <v>172</v>
      </c>
      <c r="C173" s="1">
        <v>2006</v>
      </c>
      <c r="D173" s="1" t="s">
        <v>174</v>
      </c>
      <c r="E173" s="1" t="s">
        <v>177</v>
      </c>
      <c r="F173" s="1">
        <v>2011</v>
      </c>
      <c r="G173" s="1" t="s">
        <v>330</v>
      </c>
      <c r="H173" s="1">
        <v>835000</v>
      </c>
      <c r="I173" s="1">
        <v>4</v>
      </c>
      <c r="J173" s="1">
        <f t="shared" si="3"/>
        <v>17735000</v>
      </c>
      <c r="K173" s="1">
        <v>822731</v>
      </c>
      <c r="L173" s="23">
        <v>3.67</v>
      </c>
      <c r="M173" s="23">
        <v>101.47799999999999</v>
      </c>
    </row>
    <row r="174" spans="1:13" x14ac:dyDescent="0.2">
      <c r="A174" s="1" t="s">
        <v>170</v>
      </c>
      <c r="B174" s="1" t="s">
        <v>172</v>
      </c>
      <c r="C174" s="1">
        <v>2006</v>
      </c>
      <c r="D174" s="1" t="s">
        <v>174</v>
      </c>
      <c r="E174" s="1" t="s">
        <v>177</v>
      </c>
      <c r="F174" s="1">
        <v>2012</v>
      </c>
      <c r="G174" s="1" t="s">
        <v>330</v>
      </c>
      <c r="H174" s="1">
        <v>875000</v>
      </c>
      <c r="I174" s="1">
        <v>4</v>
      </c>
      <c r="J174" s="1">
        <f t="shared" si="3"/>
        <v>16860000</v>
      </c>
      <c r="K174" s="1">
        <v>789331</v>
      </c>
      <c r="L174" s="23">
        <v>3.73</v>
      </c>
      <c r="M174" s="23">
        <v>101.425</v>
      </c>
    </row>
    <row r="175" spans="1:13" x14ac:dyDescent="0.2">
      <c r="A175" s="1" t="s">
        <v>170</v>
      </c>
      <c r="B175" s="1" t="s">
        <v>172</v>
      </c>
      <c r="C175" s="1">
        <v>2006</v>
      </c>
      <c r="D175" s="1" t="s">
        <v>174</v>
      </c>
      <c r="E175" s="1" t="s">
        <v>177</v>
      </c>
      <c r="F175" s="1">
        <v>2013</v>
      </c>
      <c r="G175" s="1" t="s">
        <v>330</v>
      </c>
      <c r="H175" s="1">
        <v>905000</v>
      </c>
      <c r="I175" s="1">
        <v>5</v>
      </c>
      <c r="J175" s="1">
        <f t="shared" si="3"/>
        <v>15955000</v>
      </c>
      <c r="K175" s="1">
        <v>754331</v>
      </c>
      <c r="L175" s="23">
        <v>3.8</v>
      </c>
      <c r="M175" s="23">
        <v>107.262</v>
      </c>
    </row>
    <row r="176" spans="1:13" x14ac:dyDescent="0.2">
      <c r="A176" s="1" t="s">
        <v>170</v>
      </c>
      <c r="B176" s="1" t="s">
        <v>172</v>
      </c>
      <c r="C176" s="1">
        <v>2006</v>
      </c>
      <c r="D176" s="1" t="s">
        <v>174</v>
      </c>
      <c r="E176" s="1" t="s">
        <v>177</v>
      </c>
      <c r="F176" s="1">
        <v>2014</v>
      </c>
      <c r="G176" s="1" t="s">
        <v>330</v>
      </c>
      <c r="H176" s="1">
        <f>800000+1145000</f>
        <v>1945000</v>
      </c>
      <c r="I176" s="1">
        <f>ROUND(AVERAGE(4,5.5),2)</f>
        <v>4.75</v>
      </c>
      <c r="J176" s="1">
        <f t="shared" si="3"/>
        <v>14010000</v>
      </c>
      <c r="K176" s="1">
        <v>709081</v>
      </c>
      <c r="L176" s="23">
        <v>3.85</v>
      </c>
      <c r="M176" s="23">
        <f>ROUND(AVERAGE(101.016,111.198),3)</f>
        <v>106.107</v>
      </c>
    </row>
    <row r="177" spans="1:13" x14ac:dyDescent="0.2">
      <c r="A177" s="1" t="s">
        <v>170</v>
      </c>
      <c r="B177" s="1" t="s">
        <v>172</v>
      </c>
      <c r="C177" s="1">
        <v>2006</v>
      </c>
      <c r="D177" s="1" t="s">
        <v>174</v>
      </c>
      <c r="E177" s="1" t="s">
        <v>177</v>
      </c>
      <c r="F177" s="1">
        <v>2015</v>
      </c>
      <c r="G177" s="1" t="s">
        <v>330</v>
      </c>
      <c r="H177" s="1">
        <v>2040000</v>
      </c>
      <c r="I177" s="1">
        <v>5</v>
      </c>
      <c r="J177" s="1">
        <f t="shared" si="3"/>
        <v>11970000</v>
      </c>
      <c r="K177" s="1">
        <v>614106</v>
      </c>
      <c r="L177" s="23">
        <v>3.9</v>
      </c>
      <c r="M177" s="23">
        <v>108.236</v>
      </c>
    </row>
    <row r="178" spans="1:13" x14ac:dyDescent="0.2">
      <c r="A178" s="1" t="s">
        <v>170</v>
      </c>
      <c r="B178" s="1" t="s">
        <v>172</v>
      </c>
      <c r="C178" s="1">
        <v>2006</v>
      </c>
      <c r="D178" s="1" t="s">
        <v>174</v>
      </c>
      <c r="E178" s="1" t="s">
        <v>177</v>
      </c>
      <c r="F178" s="1">
        <v>2016</v>
      </c>
      <c r="G178" s="1" t="s">
        <v>330</v>
      </c>
      <c r="H178" s="1">
        <f>740000+1225000</f>
        <v>1965000</v>
      </c>
      <c r="I178" s="1">
        <v>4.5</v>
      </c>
      <c r="J178" s="1">
        <f t="shared" si="3"/>
        <v>10005000</v>
      </c>
      <c r="K178" s="1">
        <v>512106</v>
      </c>
      <c r="L178" s="23">
        <v>3.96</v>
      </c>
      <c r="M178" s="23">
        <f>ROUND(AVERAGE(100.324,108.478),3)</f>
        <v>104.401</v>
      </c>
    </row>
    <row r="179" spans="1:13" x14ac:dyDescent="0.2">
      <c r="A179" s="1" t="s">
        <v>170</v>
      </c>
      <c r="B179" s="1" t="s">
        <v>172</v>
      </c>
      <c r="C179" s="1">
        <v>2006</v>
      </c>
      <c r="D179" s="1" t="s">
        <v>174</v>
      </c>
      <c r="E179" s="1" t="s">
        <v>177</v>
      </c>
      <c r="F179" s="1">
        <v>2017</v>
      </c>
      <c r="G179" s="1" t="s">
        <v>330</v>
      </c>
      <c r="H179" s="1">
        <v>1835000</v>
      </c>
      <c r="I179" s="1">
        <v>5</v>
      </c>
      <c r="J179" s="1">
        <f t="shared" si="3"/>
        <v>8170000</v>
      </c>
      <c r="K179" s="1">
        <v>421256</v>
      </c>
      <c r="L179" s="23">
        <v>4.04</v>
      </c>
      <c r="M179" s="23">
        <v>107.795</v>
      </c>
    </row>
    <row r="180" spans="1:13" x14ac:dyDescent="0.2">
      <c r="A180" s="1" t="s">
        <v>170</v>
      </c>
      <c r="B180" s="1" t="s">
        <v>172</v>
      </c>
      <c r="C180" s="1">
        <v>2006</v>
      </c>
      <c r="D180" s="1" t="s">
        <v>174</v>
      </c>
      <c r="E180" s="1" t="s">
        <v>177</v>
      </c>
      <c r="F180" s="1">
        <v>2018</v>
      </c>
      <c r="G180" s="1" t="s">
        <v>330</v>
      </c>
      <c r="H180" s="1">
        <v>1930000</v>
      </c>
      <c r="I180" s="1">
        <v>4</v>
      </c>
      <c r="J180" s="1">
        <f t="shared" si="3"/>
        <v>6240000</v>
      </c>
      <c r="K180" s="1">
        <v>329506</v>
      </c>
      <c r="L180" s="23">
        <v>4.17</v>
      </c>
      <c r="M180" s="23">
        <v>98.411000000000001</v>
      </c>
    </row>
    <row r="181" spans="1:13" x14ac:dyDescent="0.2">
      <c r="A181" s="1" t="s">
        <v>170</v>
      </c>
      <c r="B181" s="1" t="s">
        <v>172</v>
      </c>
      <c r="C181" s="1">
        <v>2006</v>
      </c>
      <c r="D181" s="1" t="s">
        <v>174</v>
      </c>
      <c r="E181" s="1" t="s">
        <v>177</v>
      </c>
      <c r="F181" s="1">
        <v>2019</v>
      </c>
      <c r="G181" s="1" t="s">
        <v>330</v>
      </c>
      <c r="H181" s="1">
        <v>2000000</v>
      </c>
      <c r="I181" s="1">
        <v>4</v>
      </c>
      <c r="J181" s="1">
        <f t="shared" si="3"/>
        <v>4240000</v>
      </c>
      <c r="K181" s="1">
        <v>252306</v>
      </c>
      <c r="L181" s="23">
        <v>4.21</v>
      </c>
      <c r="M181" s="23">
        <v>97.918000000000006</v>
      </c>
    </row>
    <row r="182" spans="1:13" x14ac:dyDescent="0.2">
      <c r="A182" s="1" t="s">
        <v>170</v>
      </c>
      <c r="B182" s="1" t="s">
        <v>172</v>
      </c>
      <c r="C182" s="1">
        <v>2006</v>
      </c>
      <c r="D182" s="1" t="s">
        <v>174</v>
      </c>
      <c r="E182" s="1" t="s">
        <v>177</v>
      </c>
      <c r="F182" s="1">
        <v>2020</v>
      </c>
      <c r="G182" s="1" t="s">
        <v>330</v>
      </c>
      <c r="H182" s="1">
        <v>2075000</v>
      </c>
      <c r="I182" s="1">
        <v>4</v>
      </c>
      <c r="J182" s="1">
        <f t="shared" si="3"/>
        <v>2165000</v>
      </c>
      <c r="K182" s="1">
        <v>172306</v>
      </c>
      <c r="L182" s="23">
        <v>4.2699999999999996</v>
      </c>
      <c r="M182" s="23">
        <v>97.182000000000002</v>
      </c>
    </row>
    <row r="183" spans="1:13" x14ac:dyDescent="0.2">
      <c r="A183" s="1" t="s">
        <v>170</v>
      </c>
      <c r="B183" s="1" t="s">
        <v>172</v>
      </c>
      <c r="C183" s="1">
        <v>2006</v>
      </c>
      <c r="D183" s="1" t="s">
        <v>174</v>
      </c>
      <c r="E183" s="1" t="s">
        <v>177</v>
      </c>
      <c r="F183" s="1">
        <v>2021</v>
      </c>
      <c r="G183" s="1" t="s">
        <v>330</v>
      </c>
      <c r="H183" s="1">
        <v>2165000</v>
      </c>
      <c r="I183" s="1">
        <v>4.125</v>
      </c>
      <c r="J183" s="1">
        <f t="shared" si="3"/>
        <v>0</v>
      </c>
      <c r="K183" s="1">
        <v>89306</v>
      </c>
      <c r="L183" s="23">
        <v>4.32</v>
      </c>
      <c r="M183" s="23">
        <v>97.867000000000004</v>
      </c>
    </row>
    <row r="184" spans="1:13" x14ac:dyDescent="0.2">
      <c r="A184" s="1" t="s">
        <v>170</v>
      </c>
      <c r="B184" s="1" t="s">
        <v>172</v>
      </c>
      <c r="C184" s="1">
        <v>2009</v>
      </c>
      <c r="D184" s="1" t="s">
        <v>174</v>
      </c>
      <c r="E184" s="1" t="s">
        <v>177</v>
      </c>
      <c r="F184" s="1">
        <v>2009</v>
      </c>
      <c r="G184" s="1" t="s">
        <v>331</v>
      </c>
      <c r="H184" s="1">
        <v>315000</v>
      </c>
      <c r="I184" s="1">
        <v>2</v>
      </c>
      <c r="J184" s="1">
        <f>6270000-H184</f>
        <v>5955000</v>
      </c>
      <c r="K184" s="1">
        <v>10250</v>
      </c>
      <c r="L184" s="23" t="s">
        <v>176</v>
      </c>
      <c r="M184" s="23">
        <v>100.093</v>
      </c>
    </row>
    <row r="185" spans="1:13" x14ac:dyDescent="0.2">
      <c r="A185" s="1" t="s">
        <v>170</v>
      </c>
      <c r="B185" s="1" t="s">
        <v>172</v>
      </c>
      <c r="C185" s="1">
        <v>2009</v>
      </c>
      <c r="D185" s="1" t="s">
        <v>174</v>
      </c>
      <c r="E185" s="1" t="s">
        <v>177</v>
      </c>
      <c r="F185" s="1">
        <v>2010</v>
      </c>
      <c r="G185" s="1" t="s">
        <v>331</v>
      </c>
      <c r="H185" s="1">
        <v>495000</v>
      </c>
      <c r="I185" s="1">
        <v>2</v>
      </c>
      <c r="J185" s="1">
        <f t="shared" si="3"/>
        <v>5460000</v>
      </c>
      <c r="K185" s="1">
        <v>130375</v>
      </c>
      <c r="L185" s="23" t="s">
        <v>176</v>
      </c>
      <c r="M185" s="23">
        <v>101.12</v>
      </c>
    </row>
    <row r="186" spans="1:13" x14ac:dyDescent="0.2">
      <c r="A186" s="1" t="s">
        <v>170</v>
      </c>
      <c r="B186" s="1" t="s">
        <v>172</v>
      </c>
      <c r="C186" s="1">
        <v>2009</v>
      </c>
      <c r="D186" s="1" t="s">
        <v>174</v>
      </c>
      <c r="E186" s="1" t="s">
        <v>177</v>
      </c>
      <c r="F186" s="1">
        <v>2011</v>
      </c>
      <c r="G186" s="1" t="s">
        <v>331</v>
      </c>
      <c r="H186" s="1">
        <v>1045000</v>
      </c>
      <c r="I186" s="1">
        <v>2</v>
      </c>
      <c r="J186" s="1">
        <f t="shared" si="3"/>
        <v>4415000</v>
      </c>
      <c r="K186" s="1">
        <v>120475</v>
      </c>
      <c r="L186" s="23" t="s">
        <v>176</v>
      </c>
      <c r="M186" s="23">
        <v>101.53100000000001</v>
      </c>
    </row>
    <row r="187" spans="1:13" x14ac:dyDescent="0.2">
      <c r="A187" s="1" t="s">
        <v>170</v>
      </c>
      <c r="B187" s="1" t="s">
        <v>172</v>
      </c>
      <c r="C187" s="1">
        <v>2009</v>
      </c>
      <c r="D187" s="1" t="s">
        <v>174</v>
      </c>
      <c r="E187" s="1" t="s">
        <v>177</v>
      </c>
      <c r="F187" s="1">
        <v>2012</v>
      </c>
      <c r="G187" s="1" t="s">
        <v>331</v>
      </c>
      <c r="H187" s="1">
        <v>1070000</v>
      </c>
      <c r="I187" s="1">
        <v>2</v>
      </c>
      <c r="J187" s="1">
        <f t="shared" ref="J187:J237" si="4">J186-H187</f>
        <v>3345000</v>
      </c>
      <c r="K187" s="1">
        <v>99575</v>
      </c>
      <c r="L187" s="23" t="s">
        <v>176</v>
      </c>
      <c r="M187" s="23">
        <v>101.044</v>
      </c>
    </row>
    <row r="188" spans="1:13" x14ac:dyDescent="0.2">
      <c r="A188" s="1" t="s">
        <v>170</v>
      </c>
      <c r="B188" s="1" t="s">
        <v>172</v>
      </c>
      <c r="C188" s="1">
        <v>2009</v>
      </c>
      <c r="D188" s="1" t="s">
        <v>174</v>
      </c>
      <c r="E188" s="1" t="s">
        <v>177</v>
      </c>
      <c r="F188" s="1">
        <v>2013</v>
      </c>
      <c r="G188" s="1" t="s">
        <v>331</v>
      </c>
      <c r="H188" s="1">
        <v>1090000</v>
      </c>
      <c r="I188" s="1">
        <v>2</v>
      </c>
      <c r="J188" s="1">
        <f t="shared" si="4"/>
        <v>2255000</v>
      </c>
      <c r="K188" s="1">
        <v>78175</v>
      </c>
      <c r="L188" s="23" t="s">
        <v>176</v>
      </c>
      <c r="M188" s="23">
        <v>99.804000000000002</v>
      </c>
    </row>
    <row r="189" spans="1:13" x14ac:dyDescent="0.2">
      <c r="A189" s="1" t="s">
        <v>170</v>
      </c>
      <c r="B189" s="1" t="s">
        <v>172</v>
      </c>
      <c r="C189" s="1">
        <v>2009</v>
      </c>
      <c r="D189" s="1" t="s">
        <v>174</v>
      </c>
      <c r="E189" s="1" t="s">
        <v>177</v>
      </c>
      <c r="F189" s="1">
        <v>2014</v>
      </c>
      <c r="G189" s="1" t="s">
        <v>331</v>
      </c>
      <c r="H189" s="1">
        <v>1115000</v>
      </c>
      <c r="I189" s="1">
        <v>2.5</v>
      </c>
      <c r="J189" s="1">
        <f t="shared" si="4"/>
        <v>1140000</v>
      </c>
      <c r="K189" s="1">
        <v>56375</v>
      </c>
      <c r="L189" s="23" t="s">
        <v>176</v>
      </c>
      <c r="M189" s="23">
        <v>100.715</v>
      </c>
    </row>
    <row r="190" spans="1:13" x14ac:dyDescent="0.2">
      <c r="A190" s="1" t="s">
        <v>170</v>
      </c>
      <c r="B190" s="1" t="s">
        <v>172</v>
      </c>
      <c r="C190" s="1">
        <v>2009</v>
      </c>
      <c r="D190" s="1" t="s">
        <v>174</v>
      </c>
      <c r="E190" s="1" t="s">
        <v>177</v>
      </c>
      <c r="F190" s="1">
        <v>2015</v>
      </c>
      <c r="G190" s="1" t="s">
        <v>331</v>
      </c>
      <c r="H190" s="1">
        <v>1140000</v>
      </c>
      <c r="I190" s="1">
        <v>2.5</v>
      </c>
      <c r="J190" s="1">
        <f t="shared" si="4"/>
        <v>0</v>
      </c>
      <c r="K190" s="1">
        <v>28500</v>
      </c>
      <c r="L190" s="23" t="s">
        <v>176</v>
      </c>
      <c r="M190" s="23">
        <v>98.885000000000005</v>
      </c>
    </row>
    <row r="191" spans="1:13" x14ac:dyDescent="0.2">
      <c r="A191" s="1" t="s">
        <v>170</v>
      </c>
      <c r="B191" s="1" t="s">
        <v>172</v>
      </c>
      <c r="C191" s="1">
        <v>2009</v>
      </c>
      <c r="D191" s="1" t="s">
        <v>569</v>
      </c>
      <c r="E191" s="1" t="s">
        <v>177</v>
      </c>
      <c r="F191" s="1">
        <v>2009</v>
      </c>
      <c r="G191" s="1" t="s">
        <v>331</v>
      </c>
      <c r="H191" s="1">
        <v>0</v>
      </c>
      <c r="I191" s="1" t="s">
        <v>176</v>
      </c>
      <c r="J191" s="1">
        <v>10010000</v>
      </c>
      <c r="K191" s="1">
        <v>28448</v>
      </c>
      <c r="L191" s="23" t="s">
        <v>176</v>
      </c>
      <c r="M191" s="23" t="s">
        <v>176</v>
      </c>
    </row>
    <row r="192" spans="1:13" x14ac:dyDescent="0.2">
      <c r="A192" s="1" t="s">
        <v>170</v>
      </c>
      <c r="B192" s="1" t="s">
        <v>172</v>
      </c>
      <c r="C192" s="1">
        <v>2009</v>
      </c>
      <c r="D192" s="1" t="s">
        <v>569</v>
      </c>
      <c r="E192" s="1" t="s">
        <v>177</v>
      </c>
      <c r="F192" s="1">
        <v>2010</v>
      </c>
      <c r="G192" s="1" t="s">
        <v>331</v>
      </c>
      <c r="H192" s="1">
        <v>0</v>
      </c>
      <c r="I192" s="1" t="s">
        <v>176</v>
      </c>
      <c r="J192" s="1">
        <f t="shared" si="4"/>
        <v>10010000</v>
      </c>
      <c r="K192" s="1">
        <v>379300</v>
      </c>
      <c r="L192" s="23" t="s">
        <v>176</v>
      </c>
      <c r="M192" s="23" t="s">
        <v>176</v>
      </c>
    </row>
    <row r="193" spans="1:13" x14ac:dyDescent="0.2">
      <c r="A193" s="1" t="s">
        <v>170</v>
      </c>
      <c r="B193" s="1" t="s">
        <v>172</v>
      </c>
      <c r="C193" s="1">
        <v>2009</v>
      </c>
      <c r="D193" s="1" t="s">
        <v>569</v>
      </c>
      <c r="E193" s="1" t="s">
        <v>177</v>
      </c>
      <c r="F193" s="1">
        <v>2011</v>
      </c>
      <c r="G193" s="1" t="s">
        <v>331</v>
      </c>
      <c r="H193" s="1">
        <v>35000</v>
      </c>
      <c r="I193" s="1">
        <v>2.5</v>
      </c>
      <c r="J193" s="1">
        <f t="shared" si="4"/>
        <v>9975000</v>
      </c>
      <c r="K193" s="1">
        <v>379300</v>
      </c>
      <c r="L193" s="23" t="s">
        <v>176</v>
      </c>
      <c r="M193" s="23">
        <v>102.44799999999999</v>
      </c>
    </row>
    <row r="194" spans="1:13" x14ac:dyDescent="0.2">
      <c r="A194" s="1" t="s">
        <v>170</v>
      </c>
      <c r="B194" s="1" t="s">
        <v>172</v>
      </c>
      <c r="C194" s="1">
        <v>2009</v>
      </c>
      <c r="D194" s="1" t="s">
        <v>569</v>
      </c>
      <c r="E194" s="1" t="s">
        <v>177</v>
      </c>
      <c r="F194" s="1">
        <v>2012</v>
      </c>
      <c r="G194" s="1" t="s">
        <v>331</v>
      </c>
      <c r="H194" s="1">
        <v>35000</v>
      </c>
      <c r="I194" s="1">
        <v>2.5</v>
      </c>
      <c r="J194" s="1">
        <f t="shared" si="4"/>
        <v>9940000</v>
      </c>
      <c r="K194" s="1">
        <v>378425</v>
      </c>
      <c r="L194" s="23" t="s">
        <v>176</v>
      </c>
      <c r="M194" s="23">
        <v>102.386</v>
      </c>
    </row>
    <row r="195" spans="1:13" x14ac:dyDescent="0.2">
      <c r="A195" s="1" t="s">
        <v>170</v>
      </c>
      <c r="B195" s="1" t="s">
        <v>172</v>
      </c>
      <c r="C195" s="1">
        <v>2009</v>
      </c>
      <c r="D195" s="1" t="s">
        <v>569</v>
      </c>
      <c r="E195" s="1" t="s">
        <v>177</v>
      </c>
      <c r="F195" s="1">
        <v>2013</v>
      </c>
      <c r="G195" s="1" t="s">
        <v>331</v>
      </c>
      <c r="H195" s="1">
        <v>35000</v>
      </c>
      <c r="I195" s="1">
        <v>2.5</v>
      </c>
      <c r="J195" s="1">
        <f t="shared" si="4"/>
        <v>9905000</v>
      </c>
      <c r="K195" s="1">
        <v>377550</v>
      </c>
      <c r="L195" s="23" t="s">
        <v>176</v>
      </c>
      <c r="M195" s="23">
        <v>101.553</v>
      </c>
    </row>
    <row r="196" spans="1:13" x14ac:dyDescent="0.2">
      <c r="A196" s="1" t="s">
        <v>170</v>
      </c>
      <c r="B196" s="1" t="s">
        <v>172</v>
      </c>
      <c r="C196" s="1">
        <v>2009</v>
      </c>
      <c r="D196" s="1" t="s">
        <v>569</v>
      </c>
      <c r="E196" s="1" t="s">
        <v>177</v>
      </c>
      <c r="F196" s="1">
        <v>2014</v>
      </c>
      <c r="G196" s="1" t="s">
        <v>331</v>
      </c>
      <c r="H196" s="1">
        <v>35000</v>
      </c>
      <c r="I196" s="1">
        <v>2.5</v>
      </c>
      <c r="J196" s="1">
        <f t="shared" si="4"/>
        <v>9870000</v>
      </c>
      <c r="K196" s="1">
        <v>376675</v>
      </c>
      <c r="L196" s="23" t="s">
        <v>176</v>
      </c>
      <c r="M196" s="23">
        <v>100.474</v>
      </c>
    </row>
    <row r="197" spans="1:13" x14ac:dyDescent="0.2">
      <c r="A197" s="1" t="s">
        <v>170</v>
      </c>
      <c r="B197" s="1" t="s">
        <v>172</v>
      </c>
      <c r="C197" s="1">
        <v>2009</v>
      </c>
      <c r="D197" s="1" t="s">
        <v>569</v>
      </c>
      <c r="E197" s="1" t="s">
        <v>177</v>
      </c>
      <c r="F197" s="1">
        <v>2015</v>
      </c>
      <c r="G197" s="1" t="s">
        <v>331</v>
      </c>
      <c r="H197" s="1">
        <v>35000</v>
      </c>
      <c r="I197" s="1">
        <v>2.5</v>
      </c>
      <c r="J197" s="1">
        <f t="shared" si="4"/>
        <v>9835000</v>
      </c>
      <c r="K197" s="1">
        <v>375800</v>
      </c>
      <c r="L197" s="23" t="s">
        <v>176</v>
      </c>
      <c r="M197" s="23">
        <v>98.608999999999995</v>
      </c>
    </row>
    <row r="198" spans="1:13" x14ac:dyDescent="0.2">
      <c r="A198" s="1" t="s">
        <v>170</v>
      </c>
      <c r="B198" s="1" t="s">
        <v>172</v>
      </c>
      <c r="C198" s="1">
        <v>2009</v>
      </c>
      <c r="D198" s="1" t="s">
        <v>569</v>
      </c>
      <c r="E198" s="1" t="s">
        <v>177</v>
      </c>
      <c r="F198" s="1">
        <v>2016</v>
      </c>
      <c r="G198" s="1" t="s">
        <v>331</v>
      </c>
      <c r="H198" s="1">
        <v>1205000</v>
      </c>
      <c r="I198" s="1">
        <v>3.25</v>
      </c>
      <c r="J198" s="1">
        <f t="shared" si="4"/>
        <v>8630000</v>
      </c>
      <c r="K198" s="1">
        <v>374925</v>
      </c>
      <c r="L198" s="23" t="s">
        <v>176</v>
      </c>
      <c r="M198" s="23">
        <v>101.167</v>
      </c>
    </row>
    <row r="199" spans="1:13" x14ac:dyDescent="0.2">
      <c r="A199" s="1" t="s">
        <v>170</v>
      </c>
      <c r="B199" s="1" t="s">
        <v>172</v>
      </c>
      <c r="C199" s="1">
        <v>2009</v>
      </c>
      <c r="D199" s="1" t="s">
        <v>569</v>
      </c>
      <c r="E199" s="1" t="s">
        <v>177</v>
      </c>
      <c r="F199" s="1">
        <v>2017</v>
      </c>
      <c r="G199" s="1" t="s">
        <v>331</v>
      </c>
      <c r="H199" s="1">
        <v>1245000</v>
      </c>
      <c r="I199" s="1">
        <v>3.5</v>
      </c>
      <c r="J199" s="1">
        <f t="shared" si="4"/>
        <v>7385000</v>
      </c>
      <c r="K199" s="1">
        <v>335762</v>
      </c>
      <c r="L199" s="23" t="s">
        <v>176</v>
      </c>
      <c r="M199" s="23">
        <v>101.15900000000001</v>
      </c>
    </row>
    <row r="200" spans="1:13" x14ac:dyDescent="0.2">
      <c r="A200" s="1" t="s">
        <v>170</v>
      </c>
      <c r="B200" s="1" t="s">
        <v>172</v>
      </c>
      <c r="C200" s="1">
        <v>2009</v>
      </c>
      <c r="D200" s="1" t="s">
        <v>569</v>
      </c>
      <c r="E200" s="1" t="s">
        <v>177</v>
      </c>
      <c r="F200" s="1">
        <v>2018</v>
      </c>
      <c r="G200" s="1" t="s">
        <v>331</v>
      </c>
      <c r="H200" s="1">
        <v>1285000</v>
      </c>
      <c r="I200" s="1">
        <v>3.75</v>
      </c>
      <c r="J200" s="1">
        <f t="shared" si="4"/>
        <v>6100000</v>
      </c>
      <c r="K200" s="1">
        <v>292187</v>
      </c>
      <c r="L200" s="23" t="s">
        <v>176</v>
      </c>
      <c r="M200" s="23">
        <v>101.616</v>
      </c>
    </row>
    <row r="201" spans="1:13" x14ac:dyDescent="0.2">
      <c r="A201" s="1" t="s">
        <v>170</v>
      </c>
      <c r="B201" s="1" t="s">
        <v>172</v>
      </c>
      <c r="C201" s="1">
        <v>2009</v>
      </c>
      <c r="D201" s="1" t="s">
        <v>569</v>
      </c>
      <c r="E201" s="1" t="s">
        <v>177</v>
      </c>
      <c r="F201" s="1">
        <v>2019</v>
      </c>
      <c r="G201" s="1" t="s">
        <v>331</v>
      </c>
      <c r="H201" s="1">
        <v>1335000</v>
      </c>
      <c r="I201" s="1">
        <v>4</v>
      </c>
      <c r="J201" s="1">
        <f t="shared" si="4"/>
        <v>4765000</v>
      </c>
      <c r="K201" s="1">
        <v>244000</v>
      </c>
      <c r="L201" s="23" t="s">
        <v>176</v>
      </c>
      <c r="M201" s="23">
        <v>101.83799999999999</v>
      </c>
    </row>
    <row r="202" spans="1:13" x14ac:dyDescent="0.2">
      <c r="A202" s="1" t="s">
        <v>170</v>
      </c>
      <c r="B202" s="1" t="s">
        <v>172</v>
      </c>
      <c r="C202" s="1">
        <v>2009</v>
      </c>
      <c r="D202" s="1" t="s">
        <v>569</v>
      </c>
      <c r="E202" s="1" t="s">
        <v>177</v>
      </c>
      <c r="F202" s="1">
        <v>2020</v>
      </c>
      <c r="G202" s="1" t="s">
        <v>331</v>
      </c>
      <c r="H202" s="1">
        <v>1395000</v>
      </c>
      <c r="I202" s="1">
        <v>4</v>
      </c>
      <c r="J202" s="1">
        <f t="shared" si="4"/>
        <v>3370000</v>
      </c>
      <c r="K202" s="1">
        <v>190600</v>
      </c>
      <c r="L202" s="23" t="s">
        <v>176</v>
      </c>
      <c r="M202" s="23">
        <v>101.374</v>
      </c>
    </row>
    <row r="203" spans="1:13" x14ac:dyDescent="0.2">
      <c r="A203" s="1" t="s">
        <v>170</v>
      </c>
      <c r="B203" s="1" t="s">
        <v>172</v>
      </c>
      <c r="C203" s="1">
        <v>2009</v>
      </c>
      <c r="D203" s="1" t="s">
        <v>569</v>
      </c>
      <c r="E203" s="1" t="s">
        <v>177</v>
      </c>
      <c r="F203" s="1">
        <v>2021</v>
      </c>
      <c r="G203" s="1" t="s">
        <v>331</v>
      </c>
      <c r="H203" s="1">
        <v>1455000</v>
      </c>
      <c r="I203" s="1">
        <v>4</v>
      </c>
      <c r="J203" s="1">
        <f t="shared" si="4"/>
        <v>1915000</v>
      </c>
      <c r="K203" s="1">
        <v>134800</v>
      </c>
      <c r="L203" s="23" t="s">
        <v>176</v>
      </c>
      <c r="M203" s="23">
        <v>100.91200000000001</v>
      </c>
    </row>
    <row r="204" spans="1:13" x14ac:dyDescent="0.2">
      <c r="A204" s="1" t="s">
        <v>170</v>
      </c>
      <c r="B204" s="1" t="s">
        <v>172</v>
      </c>
      <c r="C204" s="1">
        <v>2009</v>
      </c>
      <c r="D204" s="1" t="s">
        <v>569</v>
      </c>
      <c r="E204" s="1" t="s">
        <v>177</v>
      </c>
      <c r="F204" s="1">
        <v>2022</v>
      </c>
      <c r="G204" s="1" t="s">
        <v>331</v>
      </c>
      <c r="H204" s="1">
        <v>1510000</v>
      </c>
      <c r="I204" s="1">
        <v>4</v>
      </c>
      <c r="J204" s="1">
        <f t="shared" si="4"/>
        <v>405000</v>
      </c>
      <c r="K204" s="1">
        <v>76600</v>
      </c>
      <c r="L204" s="23" t="s">
        <v>176</v>
      </c>
      <c r="M204" s="23">
        <v>100.453</v>
      </c>
    </row>
    <row r="205" spans="1:13" x14ac:dyDescent="0.2">
      <c r="A205" s="1" t="s">
        <v>170</v>
      </c>
      <c r="B205" s="1" t="s">
        <v>172</v>
      </c>
      <c r="C205" s="1">
        <v>2009</v>
      </c>
      <c r="D205" s="1" t="s">
        <v>569</v>
      </c>
      <c r="E205" s="1" t="s">
        <v>177</v>
      </c>
      <c r="F205" s="1">
        <v>2023</v>
      </c>
      <c r="G205" s="1" t="s">
        <v>331</v>
      </c>
      <c r="H205" s="1">
        <v>405000</v>
      </c>
      <c r="I205" s="1">
        <v>4</v>
      </c>
      <c r="J205" s="1">
        <f t="shared" si="4"/>
        <v>0</v>
      </c>
      <c r="K205" s="1">
        <v>16200</v>
      </c>
      <c r="L205" s="23">
        <v>4</v>
      </c>
      <c r="M205" s="23">
        <v>100</v>
      </c>
    </row>
    <row r="206" spans="1:13" x14ac:dyDescent="0.2">
      <c r="A206" s="1" t="s">
        <v>170</v>
      </c>
      <c r="B206" s="1" t="s">
        <v>172</v>
      </c>
      <c r="C206" s="1">
        <v>2012</v>
      </c>
      <c r="D206" s="1" t="s">
        <v>602</v>
      </c>
      <c r="E206" s="1" t="s">
        <v>177</v>
      </c>
      <c r="F206" s="1">
        <v>2012</v>
      </c>
      <c r="G206" s="1" t="s">
        <v>330</v>
      </c>
      <c r="H206" s="1">
        <v>200000</v>
      </c>
      <c r="I206" s="1">
        <v>1</v>
      </c>
      <c r="J206" s="1">
        <f>4570000-H206</f>
        <v>4370000</v>
      </c>
      <c r="K206" s="1">
        <v>60450</v>
      </c>
      <c r="L206" s="23">
        <v>0.9</v>
      </c>
      <c r="M206" s="23" t="s">
        <v>176</v>
      </c>
    </row>
    <row r="207" spans="1:13" x14ac:dyDescent="0.2">
      <c r="A207" s="1" t="s">
        <v>170</v>
      </c>
      <c r="B207" s="1" t="s">
        <v>172</v>
      </c>
      <c r="C207" s="1">
        <v>2012</v>
      </c>
      <c r="D207" s="1" t="s">
        <v>602</v>
      </c>
      <c r="E207" s="1" t="s">
        <v>177</v>
      </c>
      <c r="F207" s="1">
        <v>2013</v>
      </c>
      <c r="G207" s="1" t="s">
        <v>330</v>
      </c>
      <c r="H207" s="1">
        <v>295000</v>
      </c>
      <c r="I207" s="1">
        <v>2</v>
      </c>
      <c r="J207" s="1">
        <f t="shared" si="4"/>
        <v>4075000</v>
      </c>
      <c r="K207" s="1">
        <v>115000</v>
      </c>
      <c r="L207" s="23">
        <v>1.1000000000000001</v>
      </c>
      <c r="M207" s="23" t="s">
        <v>176</v>
      </c>
    </row>
    <row r="208" spans="1:13" x14ac:dyDescent="0.2">
      <c r="A208" s="1" t="s">
        <v>170</v>
      </c>
      <c r="B208" s="1" t="s">
        <v>172</v>
      </c>
      <c r="C208" s="1">
        <v>2012</v>
      </c>
      <c r="D208" s="1" t="s">
        <v>602</v>
      </c>
      <c r="E208" s="1" t="s">
        <v>177</v>
      </c>
      <c r="F208" s="1">
        <v>2014</v>
      </c>
      <c r="G208" s="1" t="s">
        <v>330</v>
      </c>
      <c r="H208" s="1">
        <v>295000</v>
      </c>
      <c r="I208" s="1">
        <v>2</v>
      </c>
      <c r="J208" s="1">
        <f t="shared" si="4"/>
        <v>3780000</v>
      </c>
      <c r="K208" s="1">
        <v>109100</v>
      </c>
      <c r="L208" s="23">
        <v>1.25</v>
      </c>
      <c r="M208" s="23" t="s">
        <v>176</v>
      </c>
    </row>
    <row r="209" spans="1:13" x14ac:dyDescent="0.2">
      <c r="A209" s="1" t="s">
        <v>170</v>
      </c>
      <c r="B209" s="1" t="s">
        <v>172</v>
      </c>
      <c r="C209" s="1">
        <v>2012</v>
      </c>
      <c r="D209" s="1" t="s">
        <v>602</v>
      </c>
      <c r="E209" s="1" t="s">
        <v>177</v>
      </c>
      <c r="F209" s="1">
        <v>2015</v>
      </c>
      <c r="G209" s="1" t="s">
        <v>330</v>
      </c>
      <c r="H209" s="1">
        <v>305000</v>
      </c>
      <c r="I209" s="1">
        <v>2</v>
      </c>
      <c r="J209" s="1">
        <f t="shared" si="4"/>
        <v>3475000</v>
      </c>
      <c r="K209" s="1">
        <v>103200</v>
      </c>
      <c r="L209" s="23">
        <v>1.5</v>
      </c>
      <c r="M209" s="23" t="s">
        <v>176</v>
      </c>
    </row>
    <row r="210" spans="1:13" x14ac:dyDescent="0.2">
      <c r="A210" s="1" t="s">
        <v>170</v>
      </c>
      <c r="B210" s="1" t="s">
        <v>172</v>
      </c>
      <c r="C210" s="1">
        <v>2012</v>
      </c>
      <c r="D210" s="1" t="s">
        <v>602</v>
      </c>
      <c r="E210" s="1" t="s">
        <v>177</v>
      </c>
      <c r="F210" s="1">
        <v>2016</v>
      </c>
      <c r="G210" s="1" t="s">
        <v>330</v>
      </c>
      <c r="H210" s="1">
        <v>310000</v>
      </c>
      <c r="I210" s="1">
        <v>2</v>
      </c>
      <c r="J210" s="1">
        <f t="shared" si="4"/>
        <v>3165000</v>
      </c>
      <c r="K210" s="1">
        <v>97100</v>
      </c>
      <c r="L210" s="23">
        <v>1.75</v>
      </c>
      <c r="M210" s="23" t="s">
        <v>176</v>
      </c>
    </row>
    <row r="211" spans="1:13" x14ac:dyDescent="0.2">
      <c r="A211" s="1" t="s">
        <v>170</v>
      </c>
      <c r="B211" s="1" t="s">
        <v>172</v>
      </c>
      <c r="C211" s="1">
        <v>2012</v>
      </c>
      <c r="D211" s="1" t="s">
        <v>602</v>
      </c>
      <c r="E211" s="1" t="s">
        <v>177</v>
      </c>
      <c r="F211" s="1">
        <v>2017</v>
      </c>
      <c r="G211" s="1" t="s">
        <v>330</v>
      </c>
      <c r="H211" s="1">
        <v>315000</v>
      </c>
      <c r="I211" s="1">
        <v>2.25</v>
      </c>
      <c r="J211" s="1">
        <f t="shared" si="4"/>
        <v>2850000</v>
      </c>
      <c r="K211" s="1">
        <v>90900</v>
      </c>
      <c r="L211" s="23">
        <v>2</v>
      </c>
      <c r="M211" s="23" t="s">
        <v>176</v>
      </c>
    </row>
    <row r="212" spans="1:13" x14ac:dyDescent="0.2">
      <c r="A212" s="1" t="s">
        <v>170</v>
      </c>
      <c r="B212" s="1" t="s">
        <v>172</v>
      </c>
      <c r="C212" s="1">
        <v>2012</v>
      </c>
      <c r="D212" s="1" t="s">
        <v>602</v>
      </c>
      <c r="E212" s="1" t="s">
        <v>177</v>
      </c>
      <c r="F212" s="1">
        <v>2018</v>
      </c>
      <c r="G212" s="1" t="s">
        <v>330</v>
      </c>
      <c r="H212" s="1">
        <v>320000</v>
      </c>
      <c r="I212" s="1">
        <v>2.5</v>
      </c>
      <c r="J212" s="1">
        <f t="shared" si="4"/>
        <v>2530000</v>
      </c>
      <c r="K212" s="1">
        <v>83813</v>
      </c>
      <c r="L212" s="23">
        <v>2.2999999999999998</v>
      </c>
      <c r="M212" s="23" t="s">
        <v>176</v>
      </c>
    </row>
    <row r="213" spans="1:13" x14ac:dyDescent="0.2">
      <c r="A213" s="1" t="s">
        <v>170</v>
      </c>
      <c r="B213" s="1" t="s">
        <v>172</v>
      </c>
      <c r="C213" s="1">
        <v>2012</v>
      </c>
      <c r="D213" s="1" t="s">
        <v>602</v>
      </c>
      <c r="E213" s="1" t="s">
        <v>177</v>
      </c>
      <c r="F213" s="1">
        <v>2019</v>
      </c>
      <c r="G213" s="1" t="s">
        <v>330</v>
      </c>
      <c r="H213" s="1">
        <v>330000</v>
      </c>
      <c r="I213" s="1">
        <v>2.5</v>
      </c>
      <c r="J213" s="1">
        <f t="shared" si="4"/>
        <v>2200000</v>
      </c>
      <c r="K213" s="1">
        <v>73812</v>
      </c>
      <c r="L213" s="23">
        <v>2.5</v>
      </c>
      <c r="M213" s="23" t="s">
        <v>176</v>
      </c>
    </row>
    <row r="214" spans="1:13" x14ac:dyDescent="0.2">
      <c r="A214" s="1" t="s">
        <v>170</v>
      </c>
      <c r="B214" s="1" t="s">
        <v>172</v>
      </c>
      <c r="C214" s="1">
        <v>2012</v>
      </c>
      <c r="D214" s="1" t="s">
        <v>602</v>
      </c>
      <c r="E214" s="1" t="s">
        <v>177</v>
      </c>
      <c r="F214" s="1">
        <v>2020</v>
      </c>
      <c r="G214" s="1" t="s">
        <v>330</v>
      </c>
      <c r="H214" s="1">
        <v>340000</v>
      </c>
      <c r="I214" s="1">
        <v>2.75</v>
      </c>
      <c r="J214" s="1">
        <f t="shared" si="4"/>
        <v>1860000</v>
      </c>
      <c r="K214" s="1">
        <v>67563</v>
      </c>
      <c r="L214" s="23">
        <v>2.6</v>
      </c>
      <c r="M214" s="23" t="s">
        <v>176</v>
      </c>
    </row>
    <row r="215" spans="1:13" x14ac:dyDescent="0.2">
      <c r="A215" s="1" t="s">
        <v>170</v>
      </c>
      <c r="B215" s="1" t="s">
        <v>172</v>
      </c>
      <c r="C215" s="1">
        <v>2012</v>
      </c>
      <c r="D215" s="1" t="s">
        <v>602</v>
      </c>
      <c r="E215" s="1" t="s">
        <v>177</v>
      </c>
      <c r="F215" s="1">
        <v>2021</v>
      </c>
      <c r="G215" s="1" t="s">
        <v>330</v>
      </c>
      <c r="H215" s="1">
        <v>350000</v>
      </c>
      <c r="I215" s="1">
        <v>3</v>
      </c>
      <c r="J215" s="1">
        <f t="shared" si="4"/>
        <v>1510000</v>
      </c>
      <c r="K215" s="1">
        <v>58212</v>
      </c>
      <c r="L215" s="23">
        <v>2.75</v>
      </c>
      <c r="M215" s="23" t="s">
        <v>176</v>
      </c>
    </row>
    <row r="216" spans="1:13" x14ac:dyDescent="0.2">
      <c r="A216" s="1" t="s">
        <v>170</v>
      </c>
      <c r="B216" s="1" t="s">
        <v>172</v>
      </c>
      <c r="C216" s="1">
        <v>2012</v>
      </c>
      <c r="D216" s="1" t="s">
        <v>602</v>
      </c>
      <c r="E216" s="1" t="s">
        <v>177</v>
      </c>
      <c r="F216" s="1">
        <v>2022</v>
      </c>
      <c r="G216" s="1" t="s">
        <v>330</v>
      </c>
      <c r="H216" s="1">
        <v>360000</v>
      </c>
      <c r="I216" s="1">
        <v>3</v>
      </c>
      <c r="J216" s="1">
        <f t="shared" si="4"/>
        <v>1150000</v>
      </c>
      <c r="K216" s="1">
        <v>47713</v>
      </c>
      <c r="L216" s="23">
        <v>2.9</v>
      </c>
      <c r="M216" s="23" t="s">
        <v>176</v>
      </c>
    </row>
    <row r="217" spans="1:13" x14ac:dyDescent="0.2">
      <c r="A217" s="1" t="s">
        <v>170</v>
      </c>
      <c r="B217" s="1" t="s">
        <v>172</v>
      </c>
      <c r="C217" s="1">
        <v>2012</v>
      </c>
      <c r="D217" s="1" t="s">
        <v>602</v>
      </c>
      <c r="E217" s="1" t="s">
        <v>177</v>
      </c>
      <c r="F217" s="1">
        <v>2023</v>
      </c>
      <c r="G217" s="1" t="s">
        <v>330</v>
      </c>
      <c r="H217" s="1">
        <v>370000</v>
      </c>
      <c r="I217" s="1">
        <v>3.125</v>
      </c>
      <c r="J217" s="1">
        <f t="shared" si="4"/>
        <v>780000</v>
      </c>
      <c r="K217" s="1">
        <v>36912</v>
      </c>
      <c r="L217" s="23">
        <v>3</v>
      </c>
      <c r="M217" s="23" t="s">
        <v>176</v>
      </c>
    </row>
    <row r="218" spans="1:13" x14ac:dyDescent="0.2">
      <c r="A218" s="1" t="s">
        <v>170</v>
      </c>
      <c r="B218" s="1" t="s">
        <v>172</v>
      </c>
      <c r="C218" s="1">
        <v>2012</v>
      </c>
      <c r="D218" s="1" t="s">
        <v>602</v>
      </c>
      <c r="E218" s="1" t="s">
        <v>177</v>
      </c>
      <c r="F218" s="1">
        <v>2024</v>
      </c>
      <c r="G218" s="1" t="s">
        <v>330</v>
      </c>
      <c r="H218" s="1">
        <v>385000</v>
      </c>
      <c r="I218" s="1">
        <v>3.25</v>
      </c>
      <c r="J218" s="1">
        <f t="shared" si="4"/>
        <v>395000</v>
      </c>
      <c r="K218" s="1">
        <v>25350</v>
      </c>
      <c r="L218" s="23">
        <v>3.1</v>
      </c>
      <c r="M218" s="23" t="s">
        <v>176</v>
      </c>
    </row>
    <row r="219" spans="1:13" x14ac:dyDescent="0.2">
      <c r="A219" s="1" t="s">
        <v>170</v>
      </c>
      <c r="B219" s="1" t="s">
        <v>172</v>
      </c>
      <c r="C219" s="1">
        <v>2012</v>
      </c>
      <c r="D219" s="1" t="s">
        <v>602</v>
      </c>
      <c r="E219" s="1" t="s">
        <v>177</v>
      </c>
      <c r="F219" s="1">
        <v>2025</v>
      </c>
      <c r="G219" s="1" t="s">
        <v>330</v>
      </c>
      <c r="H219" s="1">
        <v>395000</v>
      </c>
      <c r="I219" s="1">
        <v>3.25</v>
      </c>
      <c r="J219" s="1">
        <f t="shared" si="4"/>
        <v>0</v>
      </c>
      <c r="K219" s="1">
        <v>12837</v>
      </c>
      <c r="L219" s="23">
        <v>3.2</v>
      </c>
      <c r="M219" s="23" t="s">
        <v>176</v>
      </c>
    </row>
    <row r="220" spans="1:13" x14ac:dyDescent="0.2">
      <c r="A220" s="1" t="s">
        <v>170</v>
      </c>
      <c r="B220" s="1" t="s">
        <v>172</v>
      </c>
      <c r="C220" s="1">
        <v>2012</v>
      </c>
      <c r="D220" s="1" t="s">
        <v>603</v>
      </c>
      <c r="E220" s="1" t="s">
        <v>177</v>
      </c>
      <c r="F220" s="1">
        <v>2012</v>
      </c>
      <c r="G220" s="1" t="s">
        <v>331</v>
      </c>
      <c r="H220" s="1">
        <v>5000</v>
      </c>
      <c r="I220" s="1">
        <v>2</v>
      </c>
      <c r="J220" s="1">
        <f>5395000-H220</f>
        <v>5390000</v>
      </c>
      <c r="K220" s="1">
        <v>70910</v>
      </c>
      <c r="L220" s="23">
        <v>0.5</v>
      </c>
      <c r="M220" s="23">
        <v>100.872</v>
      </c>
    </row>
    <row r="221" spans="1:13" x14ac:dyDescent="0.2">
      <c r="A221" s="1" t="s">
        <v>170</v>
      </c>
      <c r="B221" s="1" t="s">
        <v>172</v>
      </c>
      <c r="C221" s="1">
        <v>2012</v>
      </c>
      <c r="D221" s="1" t="s">
        <v>603</v>
      </c>
      <c r="E221" s="1" t="s">
        <v>177</v>
      </c>
      <c r="F221" s="1">
        <v>2013</v>
      </c>
      <c r="G221" s="1" t="s">
        <v>331</v>
      </c>
      <c r="H221" s="1">
        <v>45000</v>
      </c>
      <c r="I221" s="1">
        <v>2</v>
      </c>
      <c r="J221" s="1">
        <f t="shared" si="4"/>
        <v>5345000</v>
      </c>
      <c r="K221" s="1">
        <v>121460</v>
      </c>
      <c r="L221" s="23">
        <v>0.75</v>
      </c>
      <c r="M221" s="23">
        <v>101.96299999999999</v>
      </c>
    </row>
    <row r="222" spans="1:13" x14ac:dyDescent="0.2">
      <c r="A222" s="1" t="s">
        <v>170</v>
      </c>
      <c r="B222" s="1" t="s">
        <v>172</v>
      </c>
      <c r="C222" s="1">
        <v>2012</v>
      </c>
      <c r="D222" s="1" t="s">
        <v>603</v>
      </c>
      <c r="E222" s="1" t="s">
        <v>177</v>
      </c>
      <c r="F222" s="1">
        <v>2014</v>
      </c>
      <c r="G222" s="1" t="s">
        <v>331</v>
      </c>
      <c r="H222" s="1">
        <v>65000</v>
      </c>
      <c r="I222" s="1">
        <v>2</v>
      </c>
      <c r="J222" s="1">
        <f t="shared" si="4"/>
        <v>5280000</v>
      </c>
      <c r="K222" s="1">
        <v>120560</v>
      </c>
      <c r="L222" s="23">
        <v>1</v>
      </c>
      <c r="M222" s="23">
        <v>102.5432</v>
      </c>
    </row>
    <row r="223" spans="1:13" x14ac:dyDescent="0.2">
      <c r="A223" s="1" t="s">
        <v>170</v>
      </c>
      <c r="B223" s="1" t="s">
        <v>172</v>
      </c>
      <c r="C223" s="1">
        <v>2012</v>
      </c>
      <c r="D223" s="1" t="s">
        <v>603</v>
      </c>
      <c r="E223" s="1" t="s">
        <v>177</v>
      </c>
      <c r="F223" s="1">
        <v>2015</v>
      </c>
      <c r="G223" s="1" t="s">
        <v>331</v>
      </c>
      <c r="H223" s="1">
        <v>70000</v>
      </c>
      <c r="I223" s="1">
        <v>2</v>
      </c>
      <c r="J223" s="1">
        <f t="shared" si="4"/>
        <v>5210000</v>
      </c>
      <c r="K223" s="1">
        <v>119260</v>
      </c>
      <c r="L223" s="23">
        <v>1.2</v>
      </c>
      <c r="M223" s="23">
        <v>102.797</v>
      </c>
    </row>
    <row r="224" spans="1:13" x14ac:dyDescent="0.2">
      <c r="A224" s="1" t="s">
        <v>170</v>
      </c>
      <c r="B224" s="1" t="s">
        <v>172</v>
      </c>
      <c r="C224" s="1">
        <v>2012</v>
      </c>
      <c r="D224" s="1" t="s">
        <v>603</v>
      </c>
      <c r="E224" s="1" t="s">
        <v>177</v>
      </c>
      <c r="F224" s="1">
        <v>2016</v>
      </c>
      <c r="G224" s="1" t="s">
        <v>331</v>
      </c>
      <c r="H224" s="1">
        <v>70000</v>
      </c>
      <c r="I224" s="1">
        <v>2</v>
      </c>
      <c r="J224" s="1">
        <f t="shared" si="4"/>
        <v>5140000</v>
      </c>
      <c r="K224" s="1">
        <v>117860</v>
      </c>
      <c r="L224" s="23">
        <v>1.35</v>
      </c>
      <c r="M224" s="23">
        <v>102.878</v>
      </c>
    </row>
    <row r="225" spans="1:13" x14ac:dyDescent="0.2">
      <c r="A225" s="1" t="s">
        <v>170</v>
      </c>
      <c r="B225" s="1" t="s">
        <v>172</v>
      </c>
      <c r="C225" s="1">
        <v>2012</v>
      </c>
      <c r="D225" s="1" t="s">
        <v>603</v>
      </c>
      <c r="E225" s="1" t="s">
        <v>177</v>
      </c>
      <c r="F225" s="1">
        <v>2017</v>
      </c>
      <c r="G225" s="1" t="s">
        <v>331</v>
      </c>
      <c r="H225" s="1">
        <v>70000</v>
      </c>
      <c r="I225" s="1">
        <v>2</v>
      </c>
      <c r="J225" s="1">
        <f t="shared" si="4"/>
        <v>5070000</v>
      </c>
      <c r="K225" s="1">
        <v>116460</v>
      </c>
      <c r="L225" s="23">
        <v>1.55</v>
      </c>
      <c r="M225" s="23">
        <v>102.39700000000001</v>
      </c>
    </row>
    <row r="226" spans="1:13" x14ac:dyDescent="0.2">
      <c r="A226" s="1" t="s">
        <v>170</v>
      </c>
      <c r="B226" s="1" t="s">
        <v>172</v>
      </c>
      <c r="C226" s="1">
        <v>2012</v>
      </c>
      <c r="D226" s="1" t="s">
        <v>603</v>
      </c>
      <c r="E226" s="1" t="s">
        <v>177</v>
      </c>
      <c r="F226" s="1">
        <v>2018</v>
      </c>
      <c r="G226" s="1" t="s">
        <v>331</v>
      </c>
      <c r="H226" s="1">
        <v>75000</v>
      </c>
      <c r="I226" s="1">
        <v>2</v>
      </c>
      <c r="J226" s="1">
        <f t="shared" si="4"/>
        <v>4995000</v>
      </c>
      <c r="K226" s="1">
        <v>115060</v>
      </c>
      <c r="L226" s="23">
        <v>1.75</v>
      </c>
      <c r="M226" s="23">
        <v>101.32299999999999</v>
      </c>
    </row>
    <row r="227" spans="1:13" x14ac:dyDescent="0.2">
      <c r="A227" s="1" t="s">
        <v>170</v>
      </c>
      <c r="B227" s="1" t="s">
        <v>172</v>
      </c>
      <c r="C227" s="1">
        <v>2012</v>
      </c>
      <c r="D227" s="1" t="s">
        <v>603</v>
      </c>
      <c r="E227" s="1" t="s">
        <v>177</v>
      </c>
      <c r="F227" s="1">
        <v>2019</v>
      </c>
      <c r="G227" s="1" t="s">
        <v>331</v>
      </c>
      <c r="H227" s="1">
        <v>75000</v>
      </c>
      <c r="I227" s="1">
        <v>2</v>
      </c>
      <c r="J227" s="1">
        <f t="shared" si="4"/>
        <v>4920000</v>
      </c>
      <c r="K227" s="1">
        <v>113560</v>
      </c>
      <c r="L227" s="23">
        <v>2</v>
      </c>
      <c r="M227" s="23">
        <v>100</v>
      </c>
    </row>
    <row r="228" spans="1:13" x14ac:dyDescent="0.2">
      <c r="A228" s="1" t="s">
        <v>170</v>
      </c>
      <c r="B228" s="1" t="s">
        <v>172</v>
      </c>
      <c r="C228" s="1">
        <v>2012</v>
      </c>
      <c r="D228" s="1" t="s">
        <v>603</v>
      </c>
      <c r="E228" s="1" t="s">
        <v>177</v>
      </c>
      <c r="F228" s="1">
        <v>2020</v>
      </c>
      <c r="G228" s="1" t="s">
        <v>331</v>
      </c>
      <c r="H228" s="1">
        <v>1470000</v>
      </c>
      <c r="I228" s="1">
        <v>2.0499999999999998</v>
      </c>
      <c r="J228" s="1">
        <f t="shared" si="4"/>
        <v>3450000</v>
      </c>
      <c r="K228" s="1">
        <v>112060</v>
      </c>
      <c r="L228" s="23">
        <v>2.1</v>
      </c>
      <c r="M228" s="23">
        <v>99.608000000000004</v>
      </c>
    </row>
    <row r="229" spans="1:13" x14ac:dyDescent="0.2">
      <c r="A229" s="1" t="s">
        <v>170</v>
      </c>
      <c r="B229" s="1" t="s">
        <v>172</v>
      </c>
      <c r="C229" s="1">
        <v>2012</v>
      </c>
      <c r="D229" s="1" t="s">
        <v>603</v>
      </c>
      <c r="E229" s="1" t="s">
        <v>177</v>
      </c>
      <c r="F229" s="1">
        <v>2021</v>
      </c>
      <c r="G229" s="1" t="s">
        <v>331</v>
      </c>
      <c r="H229" s="1">
        <v>1505000</v>
      </c>
      <c r="I229" s="1">
        <v>2.25</v>
      </c>
      <c r="J229" s="1">
        <f t="shared" si="4"/>
        <v>1945000</v>
      </c>
      <c r="K229" s="1">
        <v>81925</v>
      </c>
      <c r="L229" s="23">
        <v>2.2999999999999998</v>
      </c>
      <c r="M229" s="23">
        <v>99.570999999999998</v>
      </c>
    </row>
    <row r="230" spans="1:13" x14ac:dyDescent="0.2">
      <c r="A230" s="1" t="s">
        <v>170</v>
      </c>
      <c r="B230" s="1" t="s">
        <v>172</v>
      </c>
      <c r="C230" s="1">
        <v>2012</v>
      </c>
      <c r="D230" s="1" t="s">
        <v>603</v>
      </c>
      <c r="E230" s="1" t="s">
        <v>177</v>
      </c>
      <c r="F230" s="1">
        <v>2022</v>
      </c>
      <c r="G230" s="1" t="s">
        <v>331</v>
      </c>
      <c r="H230" s="1">
        <v>1535000</v>
      </c>
      <c r="I230" s="1">
        <v>2.4500000000000002</v>
      </c>
      <c r="J230" s="1">
        <f t="shared" si="4"/>
        <v>410000</v>
      </c>
      <c r="K230" s="1">
        <v>48062</v>
      </c>
      <c r="L230" s="23">
        <v>2.5</v>
      </c>
      <c r="M230" s="23">
        <v>99.536000000000001</v>
      </c>
    </row>
    <row r="231" spans="1:13" x14ac:dyDescent="0.2">
      <c r="A231" s="1" t="s">
        <v>170</v>
      </c>
      <c r="B231" s="1" t="s">
        <v>172</v>
      </c>
      <c r="C231" s="1">
        <v>2012</v>
      </c>
      <c r="D231" s="1" t="s">
        <v>603</v>
      </c>
      <c r="E231" s="1" t="s">
        <v>177</v>
      </c>
      <c r="F231" s="1">
        <v>2023</v>
      </c>
      <c r="G231" s="1" t="s">
        <v>331</v>
      </c>
      <c r="H231" s="1">
        <v>410000</v>
      </c>
      <c r="I231" s="1">
        <v>2.5499999999999998</v>
      </c>
      <c r="J231" s="1">
        <f t="shared" si="4"/>
        <v>0</v>
      </c>
      <c r="K231" s="1">
        <v>10455</v>
      </c>
      <c r="L231" s="23">
        <v>2.6</v>
      </c>
      <c r="M231" s="23">
        <v>99.501000000000005</v>
      </c>
    </row>
    <row r="232" spans="1:13" x14ac:dyDescent="0.2">
      <c r="A232" s="1" t="s">
        <v>170</v>
      </c>
      <c r="B232" s="1" t="s">
        <v>172</v>
      </c>
      <c r="C232" s="1">
        <v>2016</v>
      </c>
      <c r="D232" s="1" t="s">
        <v>602</v>
      </c>
      <c r="E232" s="1" t="s">
        <v>177</v>
      </c>
      <c r="F232" s="1">
        <v>2016</v>
      </c>
      <c r="G232" s="1" t="s">
        <v>330</v>
      </c>
      <c r="H232" s="1">
        <v>1335000</v>
      </c>
      <c r="I232" s="1">
        <v>0.55000000000000004</v>
      </c>
      <c r="J232" s="1">
        <f>11165000-H232</f>
        <v>9830000</v>
      </c>
      <c r="K232" s="1">
        <v>72090</v>
      </c>
      <c r="L232" s="23">
        <v>0.55000000000000004</v>
      </c>
      <c r="M232" s="23">
        <v>100</v>
      </c>
    </row>
    <row r="233" spans="1:13" x14ac:dyDescent="0.2">
      <c r="A233" s="1" t="s">
        <v>170</v>
      </c>
      <c r="B233" s="1" t="s">
        <v>172</v>
      </c>
      <c r="C233" s="1">
        <v>2016</v>
      </c>
      <c r="D233" s="1" t="s">
        <v>602</v>
      </c>
      <c r="E233" s="1" t="s">
        <v>177</v>
      </c>
      <c r="F233" s="1">
        <v>2017</v>
      </c>
      <c r="G233" s="1" t="s">
        <v>330</v>
      </c>
      <c r="H233" s="1">
        <v>1845000</v>
      </c>
      <c r="I233" s="1">
        <v>0.65</v>
      </c>
      <c r="J233" s="1">
        <f t="shared" si="4"/>
        <v>7985000</v>
      </c>
      <c r="K233" s="1">
        <f>205621*2</f>
        <v>411242</v>
      </c>
      <c r="L233" s="23">
        <v>0.65</v>
      </c>
      <c r="M233" s="23">
        <v>100</v>
      </c>
    </row>
    <row r="234" spans="1:13" x14ac:dyDescent="0.2">
      <c r="A234" s="1" t="s">
        <v>170</v>
      </c>
      <c r="B234" s="1" t="s">
        <v>172</v>
      </c>
      <c r="C234" s="1">
        <v>2016</v>
      </c>
      <c r="D234" s="1" t="s">
        <v>602</v>
      </c>
      <c r="E234" s="1" t="s">
        <v>177</v>
      </c>
      <c r="F234" s="1">
        <v>2018</v>
      </c>
      <c r="G234" s="1" t="s">
        <v>330</v>
      </c>
      <c r="H234" s="1">
        <v>1860000</v>
      </c>
      <c r="I234" s="1">
        <v>5</v>
      </c>
      <c r="J234" s="1">
        <f t="shared" si="4"/>
        <v>6125000</v>
      </c>
      <c r="K234" s="1">
        <f>199625*2</f>
        <v>399250</v>
      </c>
      <c r="L234" s="23">
        <v>0.7</v>
      </c>
      <c r="M234" s="23">
        <v>109.25</v>
      </c>
    </row>
    <row r="235" spans="1:13" x14ac:dyDescent="0.2">
      <c r="A235" s="1" t="s">
        <v>170</v>
      </c>
      <c r="B235" s="1" t="s">
        <v>172</v>
      </c>
      <c r="C235" s="1">
        <v>2016</v>
      </c>
      <c r="D235" s="1" t="s">
        <v>602</v>
      </c>
      <c r="E235" s="1" t="s">
        <v>177</v>
      </c>
      <c r="F235" s="1">
        <v>2019</v>
      </c>
      <c r="G235" s="1" t="s">
        <v>330</v>
      </c>
      <c r="H235" s="1">
        <v>1945000</v>
      </c>
      <c r="I235" s="1">
        <v>5</v>
      </c>
      <c r="J235" s="1">
        <f t="shared" si="4"/>
        <v>4180000</v>
      </c>
      <c r="K235" s="1">
        <f>153125*2</f>
        <v>306250</v>
      </c>
      <c r="L235" s="23">
        <v>0.78</v>
      </c>
      <c r="M235" s="23">
        <v>113.2</v>
      </c>
    </row>
    <row r="236" spans="1:13" x14ac:dyDescent="0.2">
      <c r="A236" s="1" t="s">
        <v>170</v>
      </c>
      <c r="B236" s="1" t="s">
        <v>172</v>
      </c>
      <c r="C236" s="1">
        <v>2016</v>
      </c>
      <c r="D236" s="1" t="s">
        <v>602</v>
      </c>
      <c r="E236" s="1" t="s">
        <v>177</v>
      </c>
      <c r="F236" s="1">
        <v>2020</v>
      </c>
      <c r="G236" s="1" t="s">
        <v>330</v>
      </c>
      <c r="H236" s="1">
        <v>2035000</v>
      </c>
      <c r="I236" s="1">
        <v>5</v>
      </c>
      <c r="J236" s="1">
        <f t="shared" si="4"/>
        <v>2145000</v>
      </c>
      <c r="K236" s="1">
        <f>104500*2</f>
        <v>209000</v>
      </c>
      <c r="L236" s="23">
        <v>0.91</v>
      </c>
      <c r="M236" s="23">
        <v>116.71</v>
      </c>
    </row>
    <row r="237" spans="1:13" x14ac:dyDescent="0.2">
      <c r="A237" s="1" t="s">
        <v>170</v>
      </c>
      <c r="B237" s="1" t="s">
        <v>172</v>
      </c>
      <c r="C237" s="1">
        <v>2016</v>
      </c>
      <c r="D237" s="1" t="s">
        <v>602</v>
      </c>
      <c r="E237" s="1" t="s">
        <v>177</v>
      </c>
      <c r="F237" s="1">
        <v>2021</v>
      </c>
      <c r="G237" s="1" t="s">
        <v>330</v>
      </c>
      <c r="H237" s="1">
        <v>2145000</v>
      </c>
      <c r="I237" s="1">
        <v>5</v>
      </c>
      <c r="J237" s="1">
        <f t="shared" si="4"/>
        <v>0</v>
      </c>
      <c r="K237" s="1">
        <f>53625*2</f>
        <v>107250</v>
      </c>
      <c r="L237" s="23">
        <v>1.05</v>
      </c>
      <c r="M237" s="23">
        <v>119.83</v>
      </c>
    </row>
    <row r="238" spans="1:13" x14ac:dyDescent="0.2">
      <c r="A238" s="1" t="s">
        <v>170</v>
      </c>
      <c r="B238" s="1" t="s">
        <v>172</v>
      </c>
      <c r="C238" s="1">
        <v>2016</v>
      </c>
      <c r="D238" s="1" t="s">
        <v>603</v>
      </c>
      <c r="E238" s="1" t="s">
        <v>177</v>
      </c>
      <c r="F238" s="1">
        <v>2016</v>
      </c>
      <c r="G238" s="1" t="s">
        <v>331</v>
      </c>
      <c r="H238" s="1">
        <v>1030000</v>
      </c>
      <c r="I238" s="1">
        <v>2</v>
      </c>
      <c r="J238" s="1">
        <f>4855000-H238</f>
        <v>3825000</v>
      </c>
      <c r="K238" s="1">
        <v>46368</v>
      </c>
      <c r="L238" s="23">
        <v>0.53</v>
      </c>
      <c r="M238" s="23">
        <v>100.431</v>
      </c>
    </row>
    <row r="239" spans="1:13" x14ac:dyDescent="0.2">
      <c r="A239" s="1" t="s">
        <v>170</v>
      </c>
      <c r="B239" s="1" t="s">
        <v>172</v>
      </c>
      <c r="C239" s="1">
        <v>2016</v>
      </c>
      <c r="D239" s="1" t="s">
        <v>603</v>
      </c>
      <c r="E239" s="1" t="s">
        <v>177</v>
      </c>
      <c r="F239" s="1">
        <v>2017</v>
      </c>
      <c r="G239" s="1" t="s">
        <v>331</v>
      </c>
      <c r="H239" s="1">
        <v>1250000</v>
      </c>
      <c r="I239" s="1">
        <v>0.65</v>
      </c>
      <c r="J239" s="1">
        <f>J238-H239</f>
        <v>2575000</v>
      </c>
      <c r="K239" s="1">
        <f>68437*2</f>
        <v>136874</v>
      </c>
      <c r="L239" s="1">
        <v>0.65</v>
      </c>
      <c r="M239" s="23">
        <v>100</v>
      </c>
    </row>
    <row r="240" spans="1:13" x14ac:dyDescent="0.2">
      <c r="A240" s="1" t="s">
        <v>170</v>
      </c>
      <c r="B240" s="1" t="s">
        <v>172</v>
      </c>
      <c r="C240" s="1">
        <v>2016</v>
      </c>
      <c r="D240" s="1" t="s">
        <v>603</v>
      </c>
      <c r="E240" s="1" t="s">
        <v>177</v>
      </c>
      <c r="F240" s="1">
        <v>2018</v>
      </c>
      <c r="G240" s="1" t="s">
        <v>331</v>
      </c>
      <c r="H240" s="1">
        <v>1255000</v>
      </c>
      <c r="I240" s="1">
        <v>5</v>
      </c>
      <c r="J240" s="1">
        <f>J239-H240</f>
        <v>1320000</v>
      </c>
      <c r="K240" s="1">
        <f>64375*2</f>
        <v>128750</v>
      </c>
      <c r="L240" s="1">
        <v>0.7</v>
      </c>
      <c r="M240" s="23">
        <v>109.76900000000001</v>
      </c>
    </row>
    <row r="241" spans="1:13" x14ac:dyDescent="0.2">
      <c r="A241" s="1" t="s">
        <v>170</v>
      </c>
      <c r="B241" s="1" t="s">
        <v>172</v>
      </c>
      <c r="C241" s="1">
        <v>2016</v>
      </c>
      <c r="D241" s="1" t="s">
        <v>603</v>
      </c>
      <c r="E241" s="1" t="s">
        <v>177</v>
      </c>
      <c r="F241" s="1">
        <v>2019</v>
      </c>
      <c r="G241" s="1" t="s">
        <v>331</v>
      </c>
      <c r="H241" s="1">
        <v>1320000</v>
      </c>
      <c r="I241" s="1">
        <v>5</v>
      </c>
      <c r="J241" s="1">
        <f>J240-H241</f>
        <v>0</v>
      </c>
      <c r="K241" s="1">
        <f>33000*2</f>
        <v>66000</v>
      </c>
      <c r="L241" s="1">
        <v>0.83</v>
      </c>
      <c r="M241" s="23">
        <v>113.52200000000001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1"/>
  <sheetViews>
    <sheetView topLeftCell="B1" workbookViewId="0">
      <selection activeCell="A52" sqref="A52"/>
    </sheetView>
  </sheetViews>
  <sheetFormatPr baseColWidth="10" defaultColWidth="8.83203125" defaultRowHeight="15" x14ac:dyDescent="0.2"/>
  <cols>
    <col min="1" max="1" width="10.1640625" style="1" bestFit="1" customWidth="1"/>
    <col min="2" max="16384" width="8.83203125" style="1"/>
  </cols>
  <sheetData>
    <row r="1" spans="1:6" x14ac:dyDescent="0.2">
      <c r="A1" s="2" t="s">
        <v>0</v>
      </c>
      <c r="B1" s="2" t="s">
        <v>27</v>
      </c>
      <c r="C1" s="2" t="s">
        <v>2</v>
      </c>
      <c r="D1" s="5" t="s">
        <v>3</v>
      </c>
      <c r="E1" s="4" t="s">
        <v>96</v>
      </c>
      <c r="F1" s="4" t="s">
        <v>85</v>
      </c>
    </row>
    <row r="2" spans="1:6" x14ac:dyDescent="0.2">
      <c r="A2" s="1" t="s">
        <v>170</v>
      </c>
      <c r="B2" s="1" t="s">
        <v>172</v>
      </c>
      <c r="C2" s="1">
        <v>1990</v>
      </c>
      <c r="D2" s="1">
        <v>2014309</v>
      </c>
      <c r="E2" s="1" t="s">
        <v>195</v>
      </c>
    </row>
    <row r="3" spans="1:6" x14ac:dyDescent="0.2">
      <c r="A3" s="1" t="s">
        <v>170</v>
      </c>
      <c r="B3" s="1" t="s">
        <v>172</v>
      </c>
      <c r="C3" s="1">
        <v>1990</v>
      </c>
      <c r="D3" s="1">
        <v>350000</v>
      </c>
      <c r="E3" s="1" t="s">
        <v>196</v>
      </c>
    </row>
    <row r="4" spans="1:6" x14ac:dyDescent="0.2">
      <c r="A4" s="1" t="s">
        <v>170</v>
      </c>
      <c r="B4" s="1" t="s">
        <v>172</v>
      </c>
      <c r="C4" s="1">
        <v>1990</v>
      </c>
      <c r="D4" s="1">
        <v>493640</v>
      </c>
      <c r="E4" s="1" t="s">
        <v>197</v>
      </c>
    </row>
    <row r="5" spans="1:6" x14ac:dyDescent="0.2">
      <c r="A5" s="1" t="s">
        <v>170</v>
      </c>
      <c r="B5" s="1" t="s">
        <v>172</v>
      </c>
      <c r="C5" s="1">
        <v>1990</v>
      </c>
      <c r="D5" s="1">
        <v>2200000</v>
      </c>
      <c r="E5" s="1" t="s">
        <v>198</v>
      </c>
    </row>
    <row r="6" spans="1:6" x14ac:dyDescent="0.2">
      <c r="A6" s="1" t="s">
        <v>170</v>
      </c>
      <c r="B6" s="1" t="s">
        <v>172</v>
      </c>
      <c r="C6" s="1">
        <v>1990</v>
      </c>
      <c r="D6" s="1">
        <v>276266</v>
      </c>
      <c r="E6" s="1" t="s">
        <v>199</v>
      </c>
    </row>
    <row r="7" spans="1:6" x14ac:dyDescent="0.2">
      <c r="A7" s="1" t="s">
        <v>170</v>
      </c>
      <c r="B7" s="1" t="s">
        <v>172</v>
      </c>
      <c r="C7" s="1">
        <v>1990</v>
      </c>
      <c r="D7" s="1">
        <v>288785</v>
      </c>
      <c r="E7" s="1" t="s">
        <v>200</v>
      </c>
    </row>
    <row r="8" spans="1:6" x14ac:dyDescent="0.2">
      <c r="A8" s="1" t="s">
        <v>170</v>
      </c>
      <c r="B8" s="1" t="s">
        <v>172</v>
      </c>
      <c r="C8" s="1">
        <v>1991</v>
      </c>
      <c r="D8" s="1">
        <v>14584400</v>
      </c>
      <c r="E8" s="1" t="s">
        <v>336</v>
      </c>
    </row>
    <row r="9" spans="1:6" x14ac:dyDescent="0.2">
      <c r="A9" s="1" t="s">
        <v>170</v>
      </c>
      <c r="B9" s="1" t="s">
        <v>172</v>
      </c>
      <c r="C9" s="1">
        <v>1991</v>
      </c>
      <c r="D9" s="1">
        <v>765508</v>
      </c>
      <c r="E9" s="1" t="s">
        <v>337</v>
      </c>
    </row>
    <row r="10" spans="1:6" x14ac:dyDescent="0.2">
      <c r="A10" s="1" t="s">
        <v>170</v>
      </c>
      <c r="B10" s="1" t="s">
        <v>172</v>
      </c>
      <c r="C10" s="1">
        <v>1995</v>
      </c>
      <c r="D10" s="1">
        <v>4793789</v>
      </c>
      <c r="E10" s="1" t="s">
        <v>369</v>
      </c>
    </row>
    <row r="11" spans="1:6" x14ac:dyDescent="0.2">
      <c r="A11" s="1" t="s">
        <v>170</v>
      </c>
      <c r="B11" s="1" t="s">
        <v>172</v>
      </c>
      <c r="C11" s="1">
        <v>1995</v>
      </c>
      <c r="D11" s="1">
        <v>3416292</v>
      </c>
      <c r="E11" s="1" t="s">
        <v>370</v>
      </c>
    </row>
    <row r="12" spans="1:6" x14ac:dyDescent="0.2">
      <c r="A12" s="1" t="s">
        <v>170</v>
      </c>
      <c r="B12" s="1" t="s">
        <v>172</v>
      </c>
      <c r="C12" s="1">
        <v>1995</v>
      </c>
      <c r="D12" s="1">
        <v>4000000</v>
      </c>
      <c r="E12" s="1" t="s">
        <v>198</v>
      </c>
    </row>
    <row r="13" spans="1:6" x14ac:dyDescent="0.2">
      <c r="A13" s="1" t="s">
        <v>170</v>
      </c>
      <c r="B13" s="1" t="s">
        <v>172</v>
      </c>
      <c r="C13" s="1">
        <v>1995</v>
      </c>
      <c r="D13" s="1">
        <v>1170527</v>
      </c>
      <c r="E13" s="1" t="s">
        <v>197</v>
      </c>
    </row>
    <row r="14" spans="1:6" x14ac:dyDescent="0.2">
      <c r="A14" s="1" t="s">
        <v>170</v>
      </c>
      <c r="B14" s="1" t="s">
        <v>172</v>
      </c>
      <c r="C14" s="1">
        <v>1995</v>
      </c>
      <c r="D14" s="1">
        <v>417000</v>
      </c>
      <c r="E14" s="1" t="s">
        <v>371</v>
      </c>
    </row>
    <row r="15" spans="1:6" x14ac:dyDescent="0.2">
      <c r="A15" s="1" t="s">
        <v>170</v>
      </c>
      <c r="B15" s="1" t="s">
        <v>172</v>
      </c>
      <c r="C15" s="1">
        <v>1995</v>
      </c>
      <c r="D15" s="1">
        <v>11868</v>
      </c>
      <c r="E15" s="1" t="s">
        <v>372</v>
      </c>
    </row>
    <row r="16" spans="1:6" x14ac:dyDescent="0.2">
      <c r="A16" s="1" t="s">
        <v>170</v>
      </c>
      <c r="B16" s="1" t="s">
        <v>172</v>
      </c>
      <c r="C16" s="1">
        <v>1995</v>
      </c>
      <c r="D16" s="1">
        <v>343543</v>
      </c>
      <c r="E16" s="1" t="s">
        <v>200</v>
      </c>
    </row>
    <row r="17" spans="1:5" x14ac:dyDescent="0.2">
      <c r="A17" s="1" t="s">
        <v>170</v>
      </c>
      <c r="B17" s="1" t="s">
        <v>172</v>
      </c>
      <c r="C17" s="1">
        <v>1996</v>
      </c>
      <c r="D17" s="1">
        <v>20095000</v>
      </c>
      <c r="E17" s="1" t="s">
        <v>402</v>
      </c>
    </row>
    <row r="18" spans="1:5" x14ac:dyDescent="0.2">
      <c r="A18" s="1" t="s">
        <v>170</v>
      </c>
      <c r="B18" s="1" t="s">
        <v>172</v>
      </c>
      <c r="C18" s="1">
        <v>1996</v>
      </c>
      <c r="D18" s="1">
        <v>2434599</v>
      </c>
      <c r="E18" s="1" t="s">
        <v>403</v>
      </c>
    </row>
    <row r="19" spans="1:5" x14ac:dyDescent="0.2">
      <c r="A19" s="1" t="s">
        <v>170</v>
      </c>
      <c r="B19" s="1" t="s">
        <v>172</v>
      </c>
      <c r="C19" s="1">
        <v>1996</v>
      </c>
      <c r="D19" s="1">
        <v>1954802</v>
      </c>
      <c r="E19" s="1" t="s">
        <v>404</v>
      </c>
    </row>
    <row r="20" spans="1:5" x14ac:dyDescent="0.2">
      <c r="A20" s="1" t="s">
        <v>170</v>
      </c>
      <c r="B20" s="1" t="s">
        <v>172</v>
      </c>
      <c r="C20" s="1">
        <v>1996</v>
      </c>
      <c r="D20" s="1">
        <v>2667250</v>
      </c>
      <c r="E20" s="1" t="s">
        <v>197</v>
      </c>
    </row>
    <row r="21" spans="1:5" x14ac:dyDescent="0.2">
      <c r="A21" s="1" t="s">
        <v>170</v>
      </c>
      <c r="B21" s="1" t="s">
        <v>172</v>
      </c>
      <c r="C21" s="1">
        <v>1996</v>
      </c>
      <c r="D21" s="1">
        <v>885261</v>
      </c>
      <c r="E21" s="1" t="s">
        <v>200</v>
      </c>
    </row>
    <row r="22" spans="1:5" x14ac:dyDescent="0.2">
      <c r="A22" s="1" t="s">
        <v>170</v>
      </c>
      <c r="B22" s="1" t="s">
        <v>172</v>
      </c>
      <c r="C22" s="1">
        <v>1998</v>
      </c>
      <c r="D22" s="1">
        <v>8338661</v>
      </c>
      <c r="E22" s="1" t="s">
        <v>425</v>
      </c>
    </row>
    <row r="23" spans="1:5" x14ac:dyDescent="0.2">
      <c r="A23" s="1" t="s">
        <v>170</v>
      </c>
      <c r="B23" s="1" t="s">
        <v>172</v>
      </c>
      <c r="C23" s="1">
        <v>1998</v>
      </c>
      <c r="D23" s="1">
        <v>169613</v>
      </c>
      <c r="E23" s="1" t="s">
        <v>200</v>
      </c>
    </row>
    <row r="24" spans="1:5" x14ac:dyDescent="0.2">
      <c r="A24" s="1" t="s">
        <v>170</v>
      </c>
      <c r="B24" s="1" t="s">
        <v>172</v>
      </c>
      <c r="C24" s="1">
        <v>2003</v>
      </c>
      <c r="D24" s="1">
        <v>7859665</v>
      </c>
      <c r="E24" s="1" t="s">
        <v>457</v>
      </c>
    </row>
    <row r="25" spans="1:5" x14ac:dyDescent="0.2">
      <c r="A25" s="1" t="s">
        <v>170</v>
      </c>
      <c r="B25" s="1" t="s">
        <v>172</v>
      </c>
      <c r="C25" s="1">
        <v>2003</v>
      </c>
      <c r="D25" s="1">
        <v>169683</v>
      </c>
      <c r="E25" s="1" t="s">
        <v>200</v>
      </c>
    </row>
    <row r="26" spans="1:5" x14ac:dyDescent="0.2">
      <c r="A26" s="1" t="s">
        <v>170</v>
      </c>
      <c r="B26" s="1" t="s">
        <v>172</v>
      </c>
      <c r="C26" s="1">
        <v>2004</v>
      </c>
      <c r="D26" s="1">
        <v>5120296</v>
      </c>
      <c r="E26" s="1" t="s">
        <v>499</v>
      </c>
    </row>
    <row r="27" spans="1:5" x14ac:dyDescent="0.2">
      <c r="A27" s="1" t="s">
        <v>170</v>
      </c>
      <c r="B27" s="1" t="s">
        <v>172</v>
      </c>
      <c r="C27" s="1">
        <v>2004</v>
      </c>
      <c r="D27" s="1">
        <f>112406-9596</f>
        <v>102810</v>
      </c>
      <c r="E27" s="1" t="s">
        <v>500</v>
      </c>
    </row>
    <row r="28" spans="1:5" x14ac:dyDescent="0.2">
      <c r="A28" s="1" t="s">
        <v>170</v>
      </c>
      <c r="B28" s="1" t="s">
        <v>172</v>
      </c>
      <c r="C28" s="1">
        <v>2004</v>
      </c>
      <c r="D28" s="1">
        <v>233605</v>
      </c>
      <c r="E28" s="1" t="s">
        <v>197</v>
      </c>
    </row>
    <row r="29" spans="1:5" x14ac:dyDescent="0.2">
      <c r="A29" s="1" t="s">
        <v>170</v>
      </c>
      <c r="B29" s="1" t="s">
        <v>172</v>
      </c>
      <c r="C29" s="1">
        <v>2004</v>
      </c>
      <c r="D29" s="1">
        <v>164718</v>
      </c>
      <c r="E29" s="1" t="s">
        <v>200</v>
      </c>
    </row>
    <row r="30" spans="1:5" x14ac:dyDescent="0.2">
      <c r="A30" s="1" t="s">
        <v>170</v>
      </c>
      <c r="B30" s="1" t="s">
        <v>172</v>
      </c>
      <c r="C30" s="1">
        <v>2005</v>
      </c>
      <c r="D30" s="1">
        <v>7636000</v>
      </c>
      <c r="E30" s="1" t="s">
        <v>511</v>
      </c>
    </row>
    <row r="31" spans="1:5" x14ac:dyDescent="0.2">
      <c r="A31" s="1" t="s">
        <v>170</v>
      </c>
      <c r="B31" s="1" t="s">
        <v>172</v>
      </c>
      <c r="C31" s="1">
        <v>2005</v>
      </c>
      <c r="D31" s="1">
        <v>333626</v>
      </c>
      <c r="E31" s="1" t="s">
        <v>197</v>
      </c>
    </row>
    <row r="32" spans="1:5" x14ac:dyDescent="0.2">
      <c r="A32" s="1" t="s">
        <v>170</v>
      </c>
      <c r="B32" s="1" t="s">
        <v>172</v>
      </c>
      <c r="C32" s="1">
        <v>2005</v>
      </c>
      <c r="D32" s="1">
        <v>181909</v>
      </c>
      <c r="E32" s="1" t="s">
        <v>200</v>
      </c>
    </row>
    <row r="33" spans="1:5" x14ac:dyDescent="0.2">
      <c r="A33" s="1" t="s">
        <v>170</v>
      </c>
      <c r="B33" s="1" t="s">
        <v>172</v>
      </c>
      <c r="C33" s="1">
        <v>2006</v>
      </c>
      <c r="D33" s="1">
        <v>20070804</v>
      </c>
      <c r="E33" s="1" t="s">
        <v>549</v>
      </c>
    </row>
    <row r="34" spans="1:5" x14ac:dyDescent="0.2">
      <c r="A34" s="1" t="s">
        <v>170</v>
      </c>
      <c r="B34" s="1" t="s">
        <v>172</v>
      </c>
      <c r="C34" s="1">
        <v>2006</v>
      </c>
      <c r="D34" s="1">
        <v>15772</v>
      </c>
      <c r="E34" s="1" t="s">
        <v>550</v>
      </c>
    </row>
    <row r="35" spans="1:5" x14ac:dyDescent="0.2">
      <c r="A35" s="1" t="s">
        <v>170</v>
      </c>
      <c r="B35" s="1" t="s">
        <v>172</v>
      </c>
      <c r="C35" s="1">
        <v>2006</v>
      </c>
      <c r="D35" s="1">
        <v>2160000</v>
      </c>
      <c r="E35" s="1" t="s">
        <v>551</v>
      </c>
    </row>
    <row r="36" spans="1:5" x14ac:dyDescent="0.2">
      <c r="A36" s="1" t="s">
        <v>170</v>
      </c>
      <c r="B36" s="1" t="s">
        <v>172</v>
      </c>
      <c r="C36" s="1">
        <v>2006</v>
      </c>
      <c r="D36" s="1">
        <v>495241</v>
      </c>
      <c r="E36" s="1" t="s">
        <v>200</v>
      </c>
    </row>
    <row r="37" spans="1:5" x14ac:dyDescent="0.2">
      <c r="A37" s="1" t="s">
        <v>170</v>
      </c>
      <c r="B37" s="1" t="s">
        <v>172</v>
      </c>
      <c r="C37" s="1">
        <v>2009</v>
      </c>
      <c r="D37" s="1">
        <v>4000000</v>
      </c>
      <c r="E37" s="1" t="s">
        <v>499</v>
      </c>
    </row>
    <row r="38" spans="1:5" x14ac:dyDescent="0.2">
      <c r="A38" s="1" t="s">
        <v>170</v>
      </c>
      <c r="B38" s="1" t="s">
        <v>172</v>
      </c>
      <c r="C38" s="1">
        <v>2009</v>
      </c>
      <c r="D38" s="1">
        <v>6115385</v>
      </c>
      <c r="E38" s="1" t="s">
        <v>578</v>
      </c>
    </row>
    <row r="39" spans="1:5" x14ac:dyDescent="0.2">
      <c r="A39" s="1" t="s">
        <v>170</v>
      </c>
      <c r="B39" s="1" t="s">
        <v>172</v>
      </c>
      <c r="C39" s="1">
        <v>2009</v>
      </c>
      <c r="D39" s="1">
        <v>5692183</v>
      </c>
      <c r="E39" s="1" t="s">
        <v>579</v>
      </c>
    </row>
    <row r="40" spans="1:5" x14ac:dyDescent="0.2">
      <c r="A40" s="1" t="s">
        <v>170</v>
      </c>
      <c r="B40" s="1" t="s">
        <v>172</v>
      </c>
      <c r="C40" s="1">
        <v>2009</v>
      </c>
      <c r="D40" s="1">
        <v>12555</v>
      </c>
      <c r="E40" s="1" t="s">
        <v>580</v>
      </c>
    </row>
    <row r="41" spans="1:5" x14ac:dyDescent="0.2">
      <c r="A41" s="1" t="s">
        <v>170</v>
      </c>
      <c r="B41" s="1" t="s">
        <v>172</v>
      </c>
      <c r="C41" s="1">
        <v>2009</v>
      </c>
      <c r="D41" s="1">
        <f>180713+460249</f>
        <v>640962</v>
      </c>
      <c r="E41" s="1" t="s">
        <v>200</v>
      </c>
    </row>
    <row r="42" spans="1:5" x14ac:dyDescent="0.2">
      <c r="A42" s="1" t="s">
        <v>170</v>
      </c>
      <c r="B42" s="1" t="s">
        <v>172</v>
      </c>
      <c r="C42" s="1">
        <v>2012</v>
      </c>
      <c r="D42" s="1">
        <v>4473353</v>
      </c>
      <c r="E42" s="1" t="s">
        <v>606</v>
      </c>
    </row>
    <row r="43" spans="1:5" x14ac:dyDescent="0.2">
      <c r="A43" s="1" t="s">
        <v>170</v>
      </c>
      <c r="B43" s="1" t="s">
        <v>172</v>
      </c>
      <c r="C43" s="1">
        <v>2012</v>
      </c>
      <c r="D43" s="1">
        <v>137227</v>
      </c>
      <c r="E43" s="1" t="s">
        <v>200</v>
      </c>
    </row>
    <row r="44" spans="1:5" x14ac:dyDescent="0.2">
      <c r="A44" s="1" t="s">
        <v>170</v>
      </c>
      <c r="B44" s="1" t="s">
        <v>172</v>
      </c>
      <c r="C44" s="1">
        <v>2012</v>
      </c>
      <c r="D44" s="1">
        <v>5298100</v>
      </c>
      <c r="E44" s="1" t="s">
        <v>662</v>
      </c>
    </row>
    <row r="45" spans="1:5" x14ac:dyDescent="0.2">
      <c r="A45" s="1" t="s">
        <v>170</v>
      </c>
      <c r="B45" s="1" t="s">
        <v>172</v>
      </c>
      <c r="C45" s="1">
        <v>2012</v>
      </c>
      <c r="D45" s="1">
        <v>84735</v>
      </c>
      <c r="E45" s="1" t="s">
        <v>200</v>
      </c>
    </row>
    <row r="46" spans="1:5" x14ac:dyDescent="0.2">
      <c r="A46" s="1" t="s">
        <v>170</v>
      </c>
      <c r="B46" s="1" t="s">
        <v>172</v>
      </c>
      <c r="C46" s="1">
        <v>2016</v>
      </c>
      <c r="D46" s="1">
        <v>12226053</v>
      </c>
      <c r="E46" s="1" t="s">
        <v>681</v>
      </c>
    </row>
    <row r="47" spans="1:5" x14ac:dyDescent="0.2">
      <c r="A47" s="1" t="s">
        <v>170</v>
      </c>
      <c r="B47" s="1" t="s">
        <v>172</v>
      </c>
      <c r="C47" s="1">
        <v>2016</v>
      </c>
      <c r="D47" s="1">
        <v>124466</v>
      </c>
      <c r="E47" s="1" t="s">
        <v>200</v>
      </c>
    </row>
    <row r="48" spans="1:5" x14ac:dyDescent="0.2">
      <c r="A48" s="1" t="s">
        <v>170</v>
      </c>
      <c r="B48" s="1" t="s">
        <v>172</v>
      </c>
      <c r="C48" s="1">
        <v>2016</v>
      </c>
      <c r="D48" s="1">
        <v>8595</v>
      </c>
      <c r="E48" s="1" t="s">
        <v>682</v>
      </c>
    </row>
    <row r="49" spans="1:5" x14ac:dyDescent="0.2">
      <c r="A49" s="1" t="s">
        <v>170</v>
      </c>
      <c r="B49" s="1" t="s">
        <v>172</v>
      </c>
      <c r="C49" s="1">
        <v>2016</v>
      </c>
      <c r="D49" s="1">
        <v>5107889</v>
      </c>
      <c r="E49" s="1" t="s">
        <v>711</v>
      </c>
    </row>
    <row r="50" spans="1:5" x14ac:dyDescent="0.2">
      <c r="A50" s="1" t="s">
        <v>170</v>
      </c>
      <c r="B50" s="1" t="s">
        <v>172</v>
      </c>
      <c r="C50" s="1">
        <v>2016</v>
      </c>
      <c r="D50" s="1">
        <v>50122</v>
      </c>
      <c r="E50" s="1" t="s">
        <v>200</v>
      </c>
    </row>
    <row r="51" spans="1:5" x14ac:dyDescent="0.2">
      <c r="A51" s="1" t="s">
        <v>170</v>
      </c>
      <c r="B51" s="1" t="s">
        <v>172</v>
      </c>
      <c r="C51" s="1">
        <v>2016</v>
      </c>
      <c r="D51" s="1">
        <v>2520</v>
      </c>
      <c r="E51" s="1" t="s">
        <v>682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2"/>
  <sheetViews>
    <sheetView topLeftCell="A37" workbookViewId="0">
      <selection activeCell="F51" sqref="F51"/>
    </sheetView>
  </sheetViews>
  <sheetFormatPr baseColWidth="10" defaultColWidth="8.83203125" defaultRowHeight="15" x14ac:dyDescent="0.2"/>
  <cols>
    <col min="1" max="1" width="10.1640625" style="1" bestFit="1" customWidth="1"/>
    <col min="2" max="3" width="8.83203125" style="1"/>
    <col min="4" max="4" width="23.33203125" style="1" customWidth="1"/>
    <col min="5" max="16384" width="8.83203125" style="1"/>
  </cols>
  <sheetData>
    <row r="1" spans="1:13" x14ac:dyDescent="0.2">
      <c r="A1" s="2" t="s">
        <v>0</v>
      </c>
      <c r="B1" s="2" t="s">
        <v>27</v>
      </c>
      <c r="C1" s="2" t="s">
        <v>2</v>
      </c>
      <c r="D1" s="2" t="s">
        <v>97</v>
      </c>
      <c r="E1" s="2" t="s">
        <v>24</v>
      </c>
      <c r="F1" s="2" t="s">
        <v>98</v>
      </c>
      <c r="G1" s="5" t="s">
        <v>3</v>
      </c>
      <c r="H1" s="4" t="s">
        <v>4</v>
      </c>
      <c r="I1" s="4" t="s">
        <v>5</v>
      </c>
      <c r="J1" s="6" t="s">
        <v>6</v>
      </c>
      <c r="K1" s="3" t="s">
        <v>7</v>
      </c>
      <c r="L1" s="4" t="s">
        <v>8</v>
      </c>
      <c r="M1" s="4" t="s">
        <v>85</v>
      </c>
    </row>
    <row r="2" spans="1:13" x14ac:dyDescent="0.2">
      <c r="A2" s="1" t="s">
        <v>170</v>
      </c>
      <c r="B2" s="1" t="s">
        <v>172</v>
      </c>
      <c r="C2" s="1">
        <v>1990</v>
      </c>
      <c r="D2" s="1" t="s">
        <v>376</v>
      </c>
      <c r="E2" s="1" t="s">
        <v>173</v>
      </c>
      <c r="F2" s="1" t="s">
        <v>194</v>
      </c>
      <c r="G2" s="1">
        <v>5500000</v>
      </c>
      <c r="H2" s="1">
        <v>1963</v>
      </c>
      <c r="K2" s="1">
        <v>2380000</v>
      </c>
      <c r="M2" s="1" t="s">
        <v>201</v>
      </c>
    </row>
    <row r="3" spans="1:13" x14ac:dyDescent="0.2">
      <c r="A3" s="1" t="s">
        <v>170</v>
      </c>
      <c r="B3" s="1" t="s">
        <v>172</v>
      </c>
      <c r="C3" s="1">
        <v>1990</v>
      </c>
      <c r="D3" s="1" t="s">
        <v>290</v>
      </c>
      <c r="E3" s="1" t="s">
        <v>173</v>
      </c>
      <c r="F3" s="1" t="s">
        <v>291</v>
      </c>
      <c r="G3" s="1">
        <v>350000</v>
      </c>
      <c r="H3" s="1">
        <v>1987</v>
      </c>
    </row>
    <row r="4" spans="1:13" x14ac:dyDescent="0.2">
      <c r="A4" s="1" t="s">
        <v>170</v>
      </c>
      <c r="B4" s="1" t="s">
        <v>172</v>
      </c>
      <c r="C4" s="1">
        <v>1991</v>
      </c>
      <c r="D4" s="1" t="s">
        <v>334</v>
      </c>
      <c r="E4" s="1" t="s">
        <v>281</v>
      </c>
      <c r="F4" s="1" t="s">
        <v>194</v>
      </c>
      <c r="G4" s="1">
        <v>26550000</v>
      </c>
      <c r="H4" s="1">
        <v>1989</v>
      </c>
      <c r="K4" s="1">
        <v>14584400</v>
      </c>
    </row>
    <row r="5" spans="1:13" x14ac:dyDescent="0.2">
      <c r="A5" s="1" t="s">
        <v>170</v>
      </c>
      <c r="B5" s="1" t="s">
        <v>172</v>
      </c>
      <c r="C5" s="1">
        <v>1991</v>
      </c>
      <c r="D5" s="1" t="s">
        <v>335</v>
      </c>
      <c r="E5" s="1" t="s">
        <v>173</v>
      </c>
      <c r="F5" s="1" t="s">
        <v>194</v>
      </c>
      <c r="G5" s="1">
        <v>5000000</v>
      </c>
      <c r="H5" s="1">
        <v>1990</v>
      </c>
      <c r="I5" s="1">
        <v>2010</v>
      </c>
      <c r="J5" s="1">
        <v>7.41</v>
      </c>
    </row>
    <row r="6" spans="1:13" x14ac:dyDescent="0.2">
      <c r="A6" s="1" t="s">
        <v>170</v>
      </c>
      <c r="B6" s="1" t="s">
        <v>172</v>
      </c>
      <c r="C6" s="1">
        <v>1995</v>
      </c>
      <c r="D6" s="1" t="s">
        <v>376</v>
      </c>
      <c r="E6" s="1" t="s">
        <v>173</v>
      </c>
      <c r="F6" s="1" t="s">
        <v>194</v>
      </c>
      <c r="G6" s="1">
        <v>5500000</v>
      </c>
      <c r="H6" s="1">
        <v>1963</v>
      </c>
      <c r="K6" s="1">
        <v>0</v>
      </c>
      <c r="M6" s="1" t="s">
        <v>375</v>
      </c>
    </row>
    <row r="7" spans="1:13" x14ac:dyDescent="0.2">
      <c r="A7" s="1" t="s">
        <v>170</v>
      </c>
      <c r="B7" s="1" t="s">
        <v>172</v>
      </c>
      <c r="C7" s="1">
        <v>1995</v>
      </c>
      <c r="D7" s="1" t="s">
        <v>335</v>
      </c>
      <c r="E7" s="1" t="s">
        <v>173</v>
      </c>
      <c r="F7" s="1" t="s">
        <v>194</v>
      </c>
      <c r="G7" s="1">
        <v>5000000</v>
      </c>
      <c r="H7" s="1">
        <v>1990</v>
      </c>
      <c r="I7" s="1">
        <v>2010</v>
      </c>
      <c r="J7" s="1">
        <v>7.41</v>
      </c>
    </row>
    <row r="8" spans="1:13" x14ac:dyDescent="0.2">
      <c r="A8" s="1" t="s">
        <v>170</v>
      </c>
      <c r="B8" s="1" t="s">
        <v>172</v>
      </c>
      <c r="C8" s="1">
        <v>1995</v>
      </c>
      <c r="D8" s="1" t="s">
        <v>377</v>
      </c>
      <c r="E8" s="1" t="s">
        <v>173</v>
      </c>
      <c r="F8" s="1" t="s">
        <v>291</v>
      </c>
      <c r="G8" s="1">
        <v>3400000</v>
      </c>
      <c r="H8" s="1">
        <v>1993</v>
      </c>
      <c r="I8" s="1">
        <v>1995</v>
      </c>
      <c r="M8" s="1" t="s">
        <v>378</v>
      </c>
    </row>
    <row r="9" spans="1:13" x14ac:dyDescent="0.2">
      <c r="A9" s="1" t="s">
        <v>170</v>
      </c>
      <c r="B9" s="1" t="s">
        <v>172</v>
      </c>
      <c r="C9" s="1">
        <v>1995</v>
      </c>
      <c r="D9" s="1" t="s">
        <v>334</v>
      </c>
      <c r="E9" s="1" t="s">
        <v>281</v>
      </c>
      <c r="F9" s="1" t="s">
        <v>194</v>
      </c>
      <c r="G9" s="1">
        <v>26550000</v>
      </c>
      <c r="H9" s="1">
        <v>1989</v>
      </c>
    </row>
    <row r="10" spans="1:13" x14ac:dyDescent="0.2">
      <c r="A10" s="1" t="s">
        <v>170</v>
      </c>
      <c r="B10" s="1" t="s">
        <v>172</v>
      </c>
      <c r="C10" s="1">
        <v>1995</v>
      </c>
      <c r="D10" s="1" t="s">
        <v>379</v>
      </c>
      <c r="E10" s="1" t="s">
        <v>281</v>
      </c>
      <c r="F10" s="1" t="s">
        <v>194</v>
      </c>
      <c r="G10" s="1">
        <v>15351908</v>
      </c>
      <c r="H10" s="1">
        <v>1991</v>
      </c>
      <c r="I10" s="1">
        <v>2021</v>
      </c>
    </row>
    <row r="11" spans="1:13" x14ac:dyDescent="0.2">
      <c r="A11" s="1" t="s">
        <v>170</v>
      </c>
      <c r="B11" s="1" t="s">
        <v>172</v>
      </c>
      <c r="C11" s="1">
        <v>1995</v>
      </c>
      <c r="D11" s="1" t="s">
        <v>380</v>
      </c>
      <c r="E11" s="1" t="s">
        <v>281</v>
      </c>
      <c r="F11" s="1" t="s">
        <v>194</v>
      </c>
      <c r="G11" s="1">
        <v>1120000</v>
      </c>
      <c r="M11" s="1" t="s">
        <v>381</v>
      </c>
    </row>
    <row r="12" spans="1:13" x14ac:dyDescent="0.2">
      <c r="A12" s="1" t="s">
        <v>170</v>
      </c>
      <c r="B12" s="1" t="s">
        <v>172</v>
      </c>
      <c r="C12" s="1">
        <v>1998</v>
      </c>
      <c r="D12" s="1" t="s">
        <v>335</v>
      </c>
      <c r="E12" s="1" t="s">
        <v>173</v>
      </c>
      <c r="F12" s="1" t="s">
        <v>194</v>
      </c>
      <c r="G12" s="1">
        <v>5000000</v>
      </c>
      <c r="H12" s="1">
        <v>1990</v>
      </c>
      <c r="I12" s="1">
        <v>2010</v>
      </c>
      <c r="J12" s="1">
        <v>7.41</v>
      </c>
      <c r="K12" s="1">
        <v>0</v>
      </c>
    </row>
    <row r="13" spans="1:13" x14ac:dyDescent="0.2">
      <c r="A13" s="1" t="s">
        <v>170</v>
      </c>
      <c r="B13" s="1" t="s">
        <v>172</v>
      </c>
      <c r="C13" s="1">
        <v>1998</v>
      </c>
      <c r="D13" s="1" t="s">
        <v>377</v>
      </c>
      <c r="E13" s="1" t="s">
        <v>173</v>
      </c>
      <c r="F13" s="1" t="s">
        <v>291</v>
      </c>
      <c r="G13" s="1">
        <v>3400000</v>
      </c>
      <c r="H13" s="1">
        <v>1993</v>
      </c>
      <c r="I13" s="1">
        <v>1995</v>
      </c>
      <c r="K13" s="1">
        <v>0</v>
      </c>
    </row>
    <row r="14" spans="1:13" x14ac:dyDescent="0.2">
      <c r="A14" s="1" t="s">
        <v>170</v>
      </c>
      <c r="B14" s="1" t="s">
        <v>172</v>
      </c>
      <c r="C14" s="1">
        <v>1998</v>
      </c>
      <c r="D14" s="1" t="s">
        <v>421</v>
      </c>
      <c r="E14" s="1" t="s">
        <v>173</v>
      </c>
      <c r="F14" s="1" t="s">
        <v>194</v>
      </c>
      <c r="G14" s="1">
        <v>13565000</v>
      </c>
      <c r="H14" s="1">
        <v>1995</v>
      </c>
      <c r="I14" s="1">
        <v>2015</v>
      </c>
      <c r="J14" s="1">
        <v>5.07</v>
      </c>
      <c r="K14" s="1">
        <v>13185000</v>
      </c>
    </row>
    <row r="15" spans="1:13" x14ac:dyDescent="0.2">
      <c r="A15" s="1" t="s">
        <v>170</v>
      </c>
      <c r="B15" s="1" t="s">
        <v>172</v>
      </c>
      <c r="C15" s="1">
        <v>1998</v>
      </c>
      <c r="D15" s="1" t="s">
        <v>422</v>
      </c>
      <c r="E15" s="1" t="s">
        <v>281</v>
      </c>
      <c r="F15" s="1" t="s">
        <v>194</v>
      </c>
      <c r="G15" s="1">
        <v>25915000</v>
      </c>
      <c r="H15" s="1">
        <v>1996</v>
      </c>
      <c r="I15" s="1">
        <v>2021</v>
      </c>
      <c r="J15" s="1">
        <v>5.05</v>
      </c>
      <c r="K15" s="1">
        <v>24590000</v>
      </c>
    </row>
    <row r="16" spans="1:13" x14ac:dyDescent="0.2">
      <c r="A16" s="1" t="s">
        <v>170</v>
      </c>
      <c r="B16" s="1" t="s">
        <v>172</v>
      </c>
      <c r="C16" s="1">
        <v>1998</v>
      </c>
      <c r="D16" s="1" t="s">
        <v>449</v>
      </c>
      <c r="E16" s="1" t="s">
        <v>281</v>
      </c>
      <c r="F16" s="1" t="s">
        <v>194</v>
      </c>
      <c r="G16" s="1">
        <v>21603756</v>
      </c>
      <c r="H16" s="1">
        <v>1991</v>
      </c>
      <c r="K16" s="1">
        <v>23092200</v>
      </c>
    </row>
    <row r="17" spans="1:13" x14ac:dyDescent="0.2">
      <c r="A17" s="1" t="s">
        <v>170</v>
      </c>
      <c r="B17" s="1" t="s">
        <v>172</v>
      </c>
      <c r="C17" s="1">
        <v>1998</v>
      </c>
      <c r="D17" s="1" t="s">
        <v>450</v>
      </c>
      <c r="E17" s="1" t="s">
        <v>281</v>
      </c>
      <c r="F17" s="1" t="s">
        <v>194</v>
      </c>
      <c r="G17" s="1">
        <v>885000</v>
      </c>
      <c r="K17" s="1">
        <v>755000</v>
      </c>
    </row>
    <row r="18" spans="1:13" x14ac:dyDescent="0.2">
      <c r="A18" s="1" t="s">
        <v>170</v>
      </c>
      <c r="B18" s="1" t="s">
        <v>172</v>
      </c>
      <c r="C18" s="1">
        <v>2003</v>
      </c>
      <c r="D18" s="1" t="s">
        <v>335</v>
      </c>
      <c r="E18" s="1" t="s">
        <v>173</v>
      </c>
      <c r="F18" s="1" t="s">
        <v>194</v>
      </c>
      <c r="G18" s="1">
        <v>5000000</v>
      </c>
      <c r="H18" s="1">
        <v>1990</v>
      </c>
      <c r="I18" s="1">
        <v>2010</v>
      </c>
      <c r="J18" s="1">
        <v>7.41</v>
      </c>
      <c r="K18" s="1">
        <v>0</v>
      </c>
    </row>
    <row r="19" spans="1:13" x14ac:dyDescent="0.2">
      <c r="A19" s="1" t="s">
        <v>170</v>
      </c>
      <c r="B19" s="1" t="s">
        <v>172</v>
      </c>
      <c r="C19" s="1">
        <v>2003</v>
      </c>
      <c r="D19" s="1" t="s">
        <v>377</v>
      </c>
      <c r="E19" s="1" t="s">
        <v>173</v>
      </c>
      <c r="F19" s="1" t="s">
        <v>291</v>
      </c>
      <c r="G19" s="1">
        <v>3400000</v>
      </c>
      <c r="H19" s="1">
        <v>1993</v>
      </c>
      <c r="I19" s="1">
        <v>1995</v>
      </c>
      <c r="K19" s="1">
        <v>0</v>
      </c>
    </row>
    <row r="20" spans="1:13" x14ac:dyDescent="0.2">
      <c r="A20" s="1" t="s">
        <v>170</v>
      </c>
      <c r="B20" s="1" t="s">
        <v>172</v>
      </c>
      <c r="C20" s="1">
        <v>2003</v>
      </c>
      <c r="D20" s="1" t="s">
        <v>421</v>
      </c>
      <c r="E20" s="1" t="s">
        <v>173</v>
      </c>
      <c r="F20" s="1" t="s">
        <v>194</v>
      </c>
      <c r="G20" s="1">
        <v>13565000</v>
      </c>
      <c r="H20" s="1">
        <v>1995</v>
      </c>
      <c r="I20" s="1">
        <v>2015</v>
      </c>
      <c r="J20" s="1">
        <v>5.07</v>
      </c>
      <c r="K20" s="1">
        <v>0</v>
      </c>
    </row>
    <row r="21" spans="1:13" x14ac:dyDescent="0.2">
      <c r="A21" s="1" t="s">
        <v>170</v>
      </c>
      <c r="B21" s="1" t="s">
        <v>172</v>
      </c>
      <c r="C21" s="1">
        <v>2003</v>
      </c>
      <c r="D21" s="1" t="s">
        <v>454</v>
      </c>
      <c r="E21" s="1" t="s">
        <v>173</v>
      </c>
      <c r="F21" s="1" t="s">
        <v>194</v>
      </c>
      <c r="G21" s="1">
        <v>8575000</v>
      </c>
      <c r="H21" s="1">
        <v>1998</v>
      </c>
      <c r="I21" s="1">
        <v>2015</v>
      </c>
      <c r="J21" s="1">
        <v>4.24</v>
      </c>
      <c r="K21" s="1">
        <v>7859655</v>
      </c>
    </row>
    <row r="22" spans="1:13" x14ac:dyDescent="0.2">
      <c r="A22" s="1" t="s">
        <v>170</v>
      </c>
      <c r="B22" s="1" t="s">
        <v>172</v>
      </c>
      <c r="C22" s="1">
        <v>2003</v>
      </c>
      <c r="D22" s="1" t="s">
        <v>455</v>
      </c>
      <c r="E22" s="1" t="s">
        <v>173</v>
      </c>
      <c r="F22" s="1" t="s">
        <v>194</v>
      </c>
      <c r="G22" s="1">
        <v>4187000</v>
      </c>
      <c r="H22" s="1">
        <v>2000</v>
      </c>
      <c r="J22" s="1">
        <v>3.95</v>
      </c>
      <c r="K22" s="1">
        <v>3490000</v>
      </c>
      <c r="M22" s="1" t="s">
        <v>456</v>
      </c>
    </row>
    <row r="23" spans="1:13" x14ac:dyDescent="0.2">
      <c r="A23" s="1" t="s">
        <v>170</v>
      </c>
      <c r="B23" s="1" t="s">
        <v>172</v>
      </c>
      <c r="C23" s="1">
        <v>2003</v>
      </c>
      <c r="D23" s="1" t="s">
        <v>422</v>
      </c>
      <c r="E23" s="1" t="s">
        <v>281</v>
      </c>
      <c r="F23" s="1" t="s">
        <v>194</v>
      </c>
      <c r="G23" s="1">
        <v>25915000</v>
      </c>
      <c r="H23" s="1">
        <v>1996</v>
      </c>
      <c r="I23" s="1">
        <v>2021</v>
      </c>
      <c r="J23" s="1">
        <v>5.05</v>
      </c>
      <c r="K23" s="1">
        <v>22030000</v>
      </c>
    </row>
    <row r="24" spans="1:13" x14ac:dyDescent="0.2">
      <c r="A24" s="1" t="s">
        <v>170</v>
      </c>
      <c r="B24" s="1" t="s">
        <v>172</v>
      </c>
      <c r="C24" s="1">
        <v>2003</v>
      </c>
      <c r="D24" s="1" t="s">
        <v>491</v>
      </c>
      <c r="E24" s="1" t="s">
        <v>492</v>
      </c>
      <c r="F24" s="1" t="s">
        <v>194</v>
      </c>
      <c r="G24" s="1">
        <v>7000000</v>
      </c>
      <c r="H24" s="1">
        <v>1998</v>
      </c>
      <c r="I24" s="1">
        <v>2032</v>
      </c>
      <c r="J24" s="1">
        <v>12</v>
      </c>
      <c r="K24" s="1">
        <v>7000000</v>
      </c>
      <c r="M24" s="1" t="s">
        <v>493</v>
      </c>
    </row>
    <row r="25" spans="1:13" x14ac:dyDescent="0.2">
      <c r="A25" s="1" t="s">
        <v>170</v>
      </c>
      <c r="B25" s="1" t="s">
        <v>172</v>
      </c>
      <c r="C25" s="1">
        <v>2004</v>
      </c>
      <c r="D25" s="1" t="s">
        <v>335</v>
      </c>
      <c r="E25" s="1" t="s">
        <v>173</v>
      </c>
      <c r="F25" s="1" t="s">
        <v>194</v>
      </c>
      <c r="G25" s="1">
        <v>5000000</v>
      </c>
      <c r="H25" s="1">
        <v>1990</v>
      </c>
      <c r="I25" s="1">
        <v>2010</v>
      </c>
      <c r="J25" s="1">
        <v>7.41</v>
      </c>
      <c r="K25" s="1">
        <v>0</v>
      </c>
    </row>
    <row r="26" spans="1:13" x14ac:dyDescent="0.2">
      <c r="A26" s="1" t="s">
        <v>170</v>
      </c>
      <c r="B26" s="1" t="s">
        <v>172</v>
      </c>
      <c r="C26" s="1">
        <v>2004</v>
      </c>
      <c r="D26" s="1" t="s">
        <v>377</v>
      </c>
      <c r="E26" s="1" t="s">
        <v>173</v>
      </c>
      <c r="F26" s="1" t="s">
        <v>291</v>
      </c>
      <c r="G26" s="1">
        <v>3400000</v>
      </c>
      <c r="H26" s="1">
        <v>1993</v>
      </c>
      <c r="I26" s="1">
        <v>1995</v>
      </c>
      <c r="K26" s="1">
        <v>0</v>
      </c>
    </row>
    <row r="27" spans="1:13" x14ac:dyDescent="0.2">
      <c r="A27" s="1" t="s">
        <v>170</v>
      </c>
      <c r="B27" s="1" t="s">
        <v>172</v>
      </c>
      <c r="C27" s="1">
        <v>2004</v>
      </c>
      <c r="D27" s="1" t="s">
        <v>421</v>
      </c>
      <c r="E27" s="1" t="s">
        <v>173</v>
      </c>
      <c r="F27" s="1" t="s">
        <v>194</v>
      </c>
      <c r="G27" s="1">
        <v>13565000</v>
      </c>
      <c r="H27" s="1">
        <v>1995</v>
      </c>
      <c r="I27" s="1">
        <v>2015</v>
      </c>
      <c r="J27" s="1">
        <v>5.07</v>
      </c>
      <c r="K27" s="1">
        <v>0</v>
      </c>
    </row>
    <row r="28" spans="1:13" x14ac:dyDescent="0.2">
      <c r="A28" s="1" t="s">
        <v>170</v>
      </c>
      <c r="B28" s="1" t="s">
        <v>172</v>
      </c>
      <c r="C28" s="1">
        <v>2004</v>
      </c>
      <c r="D28" s="1" t="s">
        <v>454</v>
      </c>
      <c r="E28" s="1" t="s">
        <v>173</v>
      </c>
      <c r="F28" s="1" t="s">
        <v>194</v>
      </c>
      <c r="G28" s="1">
        <v>8575000</v>
      </c>
      <c r="H28" s="1">
        <v>1998</v>
      </c>
      <c r="I28" s="1">
        <v>2015</v>
      </c>
      <c r="J28" s="1">
        <v>4.24</v>
      </c>
      <c r="K28" s="1">
        <v>0</v>
      </c>
    </row>
    <row r="29" spans="1:13" x14ac:dyDescent="0.2">
      <c r="A29" s="1" t="s">
        <v>170</v>
      </c>
      <c r="B29" s="1" t="s">
        <v>172</v>
      </c>
      <c r="C29" s="1">
        <v>2004</v>
      </c>
      <c r="D29" s="1" t="s">
        <v>455</v>
      </c>
      <c r="E29" s="1" t="s">
        <v>173</v>
      </c>
      <c r="F29" s="1" t="s">
        <v>194</v>
      </c>
      <c r="G29" s="1">
        <v>4187000</v>
      </c>
      <c r="H29" s="1">
        <v>2000</v>
      </c>
      <c r="I29" s="1">
        <v>2010</v>
      </c>
      <c r="J29" s="1">
        <v>3.95</v>
      </c>
      <c r="K29" s="1">
        <v>3118000</v>
      </c>
    </row>
    <row r="30" spans="1:13" x14ac:dyDescent="0.2">
      <c r="A30" s="1" t="s">
        <v>170</v>
      </c>
      <c r="B30" s="1" t="s">
        <v>172</v>
      </c>
      <c r="C30" s="1">
        <v>2004</v>
      </c>
      <c r="D30" s="1" t="s">
        <v>498</v>
      </c>
      <c r="E30" s="1" t="s">
        <v>173</v>
      </c>
      <c r="F30" s="1" t="s">
        <v>194</v>
      </c>
      <c r="G30" s="1">
        <v>8070000</v>
      </c>
      <c r="H30" s="1">
        <v>2003</v>
      </c>
      <c r="I30" s="1">
        <v>2010</v>
      </c>
      <c r="J30" s="1">
        <v>3</v>
      </c>
      <c r="K30" s="1">
        <v>7885000</v>
      </c>
    </row>
    <row r="31" spans="1:13" x14ac:dyDescent="0.2">
      <c r="A31" s="1" t="s">
        <v>170</v>
      </c>
      <c r="B31" s="1" t="s">
        <v>172</v>
      </c>
      <c r="C31" s="1">
        <v>2004</v>
      </c>
      <c r="D31" s="1" t="s">
        <v>422</v>
      </c>
      <c r="E31" s="1" t="s">
        <v>281</v>
      </c>
      <c r="F31" s="1" t="s">
        <v>194</v>
      </c>
      <c r="G31" s="1">
        <v>25915000</v>
      </c>
      <c r="H31" s="1">
        <v>1996</v>
      </c>
      <c r="I31" s="1">
        <v>2021</v>
      </c>
      <c r="J31" s="1">
        <v>5.05</v>
      </c>
      <c r="K31" s="1">
        <v>21555000</v>
      </c>
    </row>
    <row r="32" spans="1:13" x14ac:dyDescent="0.2">
      <c r="A32" s="1" t="s">
        <v>170</v>
      </c>
      <c r="B32" s="1" t="s">
        <v>172</v>
      </c>
      <c r="C32" s="1">
        <v>2004</v>
      </c>
      <c r="D32" s="1" t="s">
        <v>491</v>
      </c>
      <c r="E32" s="1" t="s">
        <v>492</v>
      </c>
      <c r="F32" s="1" t="s">
        <v>194</v>
      </c>
      <c r="G32" s="1">
        <v>7000000</v>
      </c>
      <c r="H32" s="1">
        <v>2002</v>
      </c>
      <c r="I32" s="1">
        <v>2032</v>
      </c>
      <c r="J32" s="1">
        <v>12</v>
      </c>
      <c r="K32" s="1">
        <v>7000000</v>
      </c>
    </row>
    <row r="33" spans="1:13" x14ac:dyDescent="0.2">
      <c r="A33" s="1" t="s">
        <v>170</v>
      </c>
      <c r="B33" s="1" t="s">
        <v>172</v>
      </c>
      <c r="C33" s="1">
        <v>2005</v>
      </c>
      <c r="D33" s="1" t="s">
        <v>449</v>
      </c>
      <c r="E33" s="1" t="s">
        <v>281</v>
      </c>
      <c r="F33" s="1" t="s">
        <v>194</v>
      </c>
      <c r="G33" s="1">
        <v>15351908</v>
      </c>
      <c r="H33" s="1">
        <v>1991</v>
      </c>
      <c r="I33" s="1">
        <v>2021</v>
      </c>
      <c r="J33" s="1" t="s">
        <v>176</v>
      </c>
      <c r="K33" s="1">
        <v>23026783</v>
      </c>
    </row>
    <row r="34" spans="1:13" x14ac:dyDescent="0.2">
      <c r="A34" s="1" t="s">
        <v>170</v>
      </c>
      <c r="B34" s="1" t="s">
        <v>172</v>
      </c>
      <c r="C34" s="1">
        <v>2005</v>
      </c>
      <c r="D34" s="1" t="s">
        <v>422</v>
      </c>
      <c r="E34" s="1" t="s">
        <v>281</v>
      </c>
      <c r="F34" s="1" t="s">
        <v>194</v>
      </c>
      <c r="G34" s="1">
        <v>25915000</v>
      </c>
      <c r="H34" s="1">
        <v>1996</v>
      </c>
      <c r="I34" s="1">
        <v>2021</v>
      </c>
      <c r="J34" s="1">
        <v>5.05</v>
      </c>
      <c r="K34" s="1">
        <v>21555000</v>
      </c>
    </row>
    <row r="35" spans="1:13" x14ac:dyDescent="0.2">
      <c r="A35" s="1" t="s">
        <v>170</v>
      </c>
      <c r="B35" s="1" t="s">
        <v>172</v>
      </c>
      <c r="C35" s="1">
        <v>2005</v>
      </c>
      <c r="D35" s="1" t="s">
        <v>454</v>
      </c>
      <c r="E35" s="1" t="s">
        <v>173</v>
      </c>
      <c r="F35" s="1" t="s">
        <v>194</v>
      </c>
      <c r="G35" s="1">
        <v>8575000</v>
      </c>
      <c r="H35" s="1">
        <v>1998</v>
      </c>
      <c r="I35" s="1">
        <v>2015</v>
      </c>
      <c r="J35" s="1">
        <v>4.24</v>
      </c>
      <c r="K35" s="1">
        <v>0</v>
      </c>
    </row>
    <row r="36" spans="1:13" x14ac:dyDescent="0.2">
      <c r="A36" s="1" t="s">
        <v>170</v>
      </c>
      <c r="B36" s="1" t="s">
        <v>172</v>
      </c>
      <c r="C36" s="1">
        <v>2005</v>
      </c>
      <c r="D36" s="1" t="s">
        <v>455</v>
      </c>
      <c r="E36" s="1" t="s">
        <v>173</v>
      </c>
      <c r="F36" s="1" t="s">
        <v>194</v>
      </c>
      <c r="G36" s="1">
        <v>4187000</v>
      </c>
      <c r="H36" s="1">
        <v>2000</v>
      </c>
      <c r="I36" s="1">
        <v>2010</v>
      </c>
      <c r="J36" s="1">
        <v>3.95</v>
      </c>
      <c r="K36" s="1">
        <v>3118000</v>
      </c>
    </row>
    <row r="37" spans="1:13" x14ac:dyDescent="0.2">
      <c r="A37" s="1" t="s">
        <v>170</v>
      </c>
      <c r="B37" s="1" t="s">
        <v>172</v>
      </c>
      <c r="C37" s="1">
        <v>2005</v>
      </c>
      <c r="D37" s="1" t="s">
        <v>498</v>
      </c>
      <c r="E37" s="1" t="s">
        <v>173</v>
      </c>
      <c r="F37" s="1" t="s">
        <v>194</v>
      </c>
      <c r="G37" s="1">
        <v>8070000</v>
      </c>
      <c r="H37" s="1">
        <v>2003</v>
      </c>
      <c r="I37" s="1">
        <v>2010</v>
      </c>
      <c r="J37" s="1">
        <v>3</v>
      </c>
      <c r="K37" s="1">
        <v>7885000</v>
      </c>
    </row>
    <row r="38" spans="1:13" x14ac:dyDescent="0.2">
      <c r="A38" s="1" t="s">
        <v>170</v>
      </c>
      <c r="B38" s="1" t="s">
        <v>172</v>
      </c>
      <c r="C38" s="1">
        <v>2005</v>
      </c>
      <c r="D38" s="1" t="s">
        <v>491</v>
      </c>
      <c r="E38" s="1" t="s">
        <v>492</v>
      </c>
      <c r="F38" s="1" t="s">
        <v>194</v>
      </c>
      <c r="G38" s="1">
        <v>7000000</v>
      </c>
      <c r="H38" s="1">
        <v>2002</v>
      </c>
      <c r="I38" s="1">
        <v>2032</v>
      </c>
      <c r="J38" s="1">
        <v>12</v>
      </c>
      <c r="K38" s="1">
        <v>7000000</v>
      </c>
    </row>
    <row r="39" spans="1:13" x14ac:dyDescent="0.2">
      <c r="A39" s="1" t="s">
        <v>170</v>
      </c>
      <c r="B39" s="1" t="s">
        <v>172</v>
      </c>
      <c r="C39" s="1">
        <v>2005</v>
      </c>
      <c r="D39" s="1" t="s">
        <v>538</v>
      </c>
      <c r="E39" s="1" t="s">
        <v>173</v>
      </c>
      <c r="F39" s="1" t="s">
        <v>194</v>
      </c>
      <c r="G39" s="1">
        <v>5640000</v>
      </c>
      <c r="H39" s="1">
        <v>2004</v>
      </c>
      <c r="I39" s="1">
        <v>2020</v>
      </c>
      <c r="J39" s="1">
        <v>4</v>
      </c>
      <c r="K39" s="1">
        <v>5640000</v>
      </c>
    </row>
    <row r="40" spans="1:13" x14ac:dyDescent="0.2">
      <c r="A40" s="1" t="s">
        <v>170</v>
      </c>
      <c r="B40" s="1" t="s">
        <v>172</v>
      </c>
      <c r="C40" s="1">
        <v>2006</v>
      </c>
      <c r="D40" s="1" t="s">
        <v>449</v>
      </c>
      <c r="E40" s="1" t="s">
        <v>281</v>
      </c>
      <c r="F40" s="1" t="s">
        <v>194</v>
      </c>
      <c r="G40" s="1">
        <v>15351908</v>
      </c>
      <c r="H40" s="1">
        <v>1991</v>
      </c>
      <c r="I40" s="1">
        <v>2021</v>
      </c>
      <c r="J40" s="1" t="s">
        <v>176</v>
      </c>
      <c r="K40" s="1">
        <v>21566983</v>
      </c>
    </row>
    <row r="41" spans="1:13" x14ac:dyDescent="0.2">
      <c r="A41" s="1" t="s">
        <v>170</v>
      </c>
      <c r="B41" s="1" t="s">
        <v>172</v>
      </c>
      <c r="C41" s="1">
        <v>2006</v>
      </c>
      <c r="D41" s="1" t="s">
        <v>422</v>
      </c>
      <c r="E41" s="1" t="s">
        <v>281</v>
      </c>
      <c r="F41" s="1" t="s">
        <v>194</v>
      </c>
      <c r="G41" s="1">
        <v>25915000</v>
      </c>
      <c r="H41" s="1">
        <v>1996</v>
      </c>
      <c r="I41" s="1">
        <v>2021</v>
      </c>
      <c r="J41" s="1">
        <v>5.05</v>
      </c>
      <c r="K41" s="1">
        <v>20525000</v>
      </c>
      <c r="M41" s="1" t="s">
        <v>546</v>
      </c>
    </row>
    <row r="42" spans="1:13" x14ac:dyDescent="0.2">
      <c r="A42" s="1" t="s">
        <v>170</v>
      </c>
      <c r="B42" s="1" t="s">
        <v>172</v>
      </c>
      <c r="C42" s="1">
        <v>2006</v>
      </c>
      <c r="D42" s="1" t="s">
        <v>545</v>
      </c>
      <c r="E42" s="1" t="s">
        <v>281</v>
      </c>
      <c r="F42" s="1" t="s">
        <v>194</v>
      </c>
      <c r="G42" s="1">
        <v>5720000</v>
      </c>
      <c r="H42" s="1">
        <v>2005</v>
      </c>
      <c r="I42" s="1">
        <v>2025</v>
      </c>
      <c r="J42" s="1">
        <v>4.29</v>
      </c>
      <c r="K42" s="1">
        <v>5720000</v>
      </c>
    </row>
    <row r="43" spans="1:13" x14ac:dyDescent="0.2">
      <c r="A43" s="1" t="s">
        <v>170</v>
      </c>
      <c r="B43" s="1" t="s">
        <v>172</v>
      </c>
      <c r="C43" s="1">
        <v>2006</v>
      </c>
      <c r="D43" s="1" t="s">
        <v>454</v>
      </c>
      <c r="E43" s="1" t="s">
        <v>173</v>
      </c>
      <c r="F43" s="1" t="s">
        <v>194</v>
      </c>
      <c r="G43" s="1">
        <v>8575000</v>
      </c>
      <c r="H43" s="1">
        <v>1998</v>
      </c>
      <c r="I43" s="1">
        <v>2015</v>
      </c>
      <c r="J43" s="1">
        <v>4.24</v>
      </c>
      <c r="K43" s="1">
        <v>0</v>
      </c>
    </row>
    <row r="44" spans="1:13" x14ac:dyDescent="0.2">
      <c r="A44" s="1" t="s">
        <v>170</v>
      </c>
      <c r="B44" s="1" t="s">
        <v>172</v>
      </c>
      <c r="C44" s="1">
        <v>2006</v>
      </c>
      <c r="D44" s="1" t="s">
        <v>455</v>
      </c>
      <c r="E44" s="1" t="s">
        <v>173</v>
      </c>
      <c r="F44" s="1" t="s">
        <v>194</v>
      </c>
      <c r="G44" s="1">
        <v>4187000</v>
      </c>
      <c r="H44" s="1">
        <v>2000</v>
      </c>
      <c r="I44" s="1">
        <v>2010</v>
      </c>
      <c r="J44" s="1">
        <v>3.95</v>
      </c>
      <c r="K44" s="1">
        <v>2323000</v>
      </c>
    </row>
    <row r="45" spans="1:13" x14ac:dyDescent="0.2">
      <c r="A45" s="1" t="s">
        <v>170</v>
      </c>
      <c r="B45" s="1" t="s">
        <v>172</v>
      </c>
      <c r="C45" s="1">
        <v>2006</v>
      </c>
      <c r="D45" s="1" t="s">
        <v>498</v>
      </c>
      <c r="E45" s="1" t="s">
        <v>173</v>
      </c>
      <c r="F45" s="1" t="s">
        <v>194</v>
      </c>
      <c r="G45" s="1">
        <v>8070000</v>
      </c>
      <c r="H45" s="1">
        <v>2003</v>
      </c>
      <c r="I45" s="1">
        <v>2010</v>
      </c>
      <c r="J45" s="1">
        <v>3</v>
      </c>
      <c r="K45" s="1">
        <v>7170000</v>
      </c>
    </row>
    <row r="46" spans="1:13" x14ac:dyDescent="0.2">
      <c r="A46" s="1" t="s">
        <v>170</v>
      </c>
      <c r="B46" s="1" t="s">
        <v>172</v>
      </c>
      <c r="C46" s="1">
        <v>2006</v>
      </c>
      <c r="D46" s="1" t="s">
        <v>491</v>
      </c>
      <c r="E46" s="1" t="s">
        <v>492</v>
      </c>
      <c r="F46" s="1" t="s">
        <v>194</v>
      </c>
      <c r="G46" s="1">
        <v>7000000</v>
      </c>
      <c r="H46" s="1">
        <v>2002</v>
      </c>
      <c r="I46" s="1">
        <v>2032</v>
      </c>
      <c r="J46" s="1">
        <v>12</v>
      </c>
      <c r="K46" s="1">
        <v>7000000</v>
      </c>
    </row>
    <row r="47" spans="1:13" x14ac:dyDescent="0.2">
      <c r="A47" s="1" t="s">
        <v>170</v>
      </c>
      <c r="B47" s="1" t="s">
        <v>172</v>
      </c>
      <c r="C47" s="1">
        <v>2006</v>
      </c>
      <c r="D47" s="1" t="s">
        <v>538</v>
      </c>
      <c r="E47" s="1" t="s">
        <v>173</v>
      </c>
      <c r="F47" s="1" t="s">
        <v>194</v>
      </c>
      <c r="G47" s="1">
        <v>5640000</v>
      </c>
      <c r="H47" s="1">
        <v>2004</v>
      </c>
      <c r="I47" s="1">
        <v>2020</v>
      </c>
      <c r="J47" s="1">
        <v>4</v>
      </c>
      <c r="K47" s="1">
        <v>5615000</v>
      </c>
      <c r="L47" s="1" t="s">
        <v>577</v>
      </c>
    </row>
    <row r="48" spans="1:13" x14ac:dyDescent="0.2">
      <c r="A48" s="1" t="s">
        <v>170</v>
      </c>
      <c r="B48" s="1" t="s">
        <v>172</v>
      </c>
      <c r="C48" s="1">
        <v>2009</v>
      </c>
      <c r="D48" s="1" t="s">
        <v>455</v>
      </c>
      <c r="E48" s="1" t="s">
        <v>173</v>
      </c>
      <c r="F48" s="1" t="s">
        <v>194</v>
      </c>
      <c r="G48" s="1">
        <v>4187000</v>
      </c>
      <c r="H48" s="1">
        <v>2000</v>
      </c>
      <c r="I48" s="1">
        <v>2010</v>
      </c>
      <c r="J48" s="1">
        <v>3.95</v>
      </c>
      <c r="K48" s="1">
        <v>990000</v>
      </c>
    </row>
    <row r="49" spans="1:12" x14ac:dyDescent="0.2">
      <c r="A49" s="1" t="s">
        <v>170</v>
      </c>
      <c r="B49" s="1" t="s">
        <v>172</v>
      </c>
      <c r="C49" s="1">
        <v>2009</v>
      </c>
      <c r="D49" s="1" t="s">
        <v>498</v>
      </c>
      <c r="E49" s="1" t="s">
        <v>173</v>
      </c>
      <c r="F49" s="1" t="s">
        <v>194</v>
      </c>
      <c r="G49" s="1">
        <v>8070000</v>
      </c>
      <c r="H49" s="1">
        <v>2003</v>
      </c>
      <c r="I49" s="1">
        <v>2010</v>
      </c>
      <c r="J49" s="1">
        <v>3</v>
      </c>
      <c r="K49" s="1">
        <v>6020000</v>
      </c>
      <c r="L49" s="1" t="s">
        <v>577</v>
      </c>
    </row>
    <row r="50" spans="1:12" x14ac:dyDescent="0.2">
      <c r="A50" s="1" t="s">
        <v>170</v>
      </c>
      <c r="B50" s="1" t="s">
        <v>172</v>
      </c>
      <c r="C50" s="1">
        <v>2009</v>
      </c>
      <c r="D50" s="1" t="s">
        <v>538</v>
      </c>
      <c r="E50" s="1" t="s">
        <v>173</v>
      </c>
      <c r="F50" s="1" t="s">
        <v>194</v>
      </c>
      <c r="G50" s="1">
        <v>5640000</v>
      </c>
      <c r="H50" s="1">
        <v>2004</v>
      </c>
      <c r="I50" s="1">
        <v>2020</v>
      </c>
      <c r="J50" s="1">
        <v>4</v>
      </c>
      <c r="K50" s="1">
        <v>5585000</v>
      </c>
    </row>
    <row r="51" spans="1:12" x14ac:dyDescent="0.2">
      <c r="A51" s="1" t="s">
        <v>170</v>
      </c>
      <c r="B51" s="1" t="s">
        <v>172</v>
      </c>
      <c r="C51" s="1">
        <v>2009</v>
      </c>
      <c r="D51" s="1" t="s">
        <v>576</v>
      </c>
      <c r="E51" s="1" t="s">
        <v>173</v>
      </c>
      <c r="F51" s="1" t="s">
        <v>714</v>
      </c>
      <c r="G51" s="1">
        <v>4177250</v>
      </c>
      <c r="H51" s="1">
        <v>2007</v>
      </c>
      <c r="I51" s="1">
        <v>2027</v>
      </c>
      <c r="J51" s="1">
        <v>4.57</v>
      </c>
      <c r="K51" s="1">
        <v>4045791</v>
      </c>
    </row>
    <row r="52" spans="1:12" x14ac:dyDescent="0.2">
      <c r="A52" s="1" t="s">
        <v>170</v>
      </c>
      <c r="B52" s="1" t="s">
        <v>172</v>
      </c>
      <c r="C52" s="1">
        <v>2009</v>
      </c>
      <c r="D52" s="1" t="s">
        <v>449</v>
      </c>
      <c r="E52" s="1" t="s">
        <v>281</v>
      </c>
      <c r="F52" s="1" t="s">
        <v>194</v>
      </c>
      <c r="G52" s="1">
        <v>15351908</v>
      </c>
      <c r="H52" s="1">
        <v>1991</v>
      </c>
      <c r="I52" s="1">
        <v>2021</v>
      </c>
      <c r="J52" s="1" t="s">
        <v>176</v>
      </c>
      <c r="K52" s="1">
        <v>19094749</v>
      </c>
    </row>
    <row r="53" spans="1:12" x14ac:dyDescent="0.2">
      <c r="A53" s="1" t="s">
        <v>170</v>
      </c>
      <c r="B53" s="1" t="s">
        <v>172</v>
      </c>
      <c r="C53" s="1">
        <v>2009</v>
      </c>
      <c r="D53" s="1" t="s">
        <v>422</v>
      </c>
      <c r="E53" s="1" t="s">
        <v>281</v>
      </c>
      <c r="F53" s="1" t="s">
        <v>194</v>
      </c>
      <c r="G53" s="1">
        <v>25915000</v>
      </c>
      <c r="H53" s="1">
        <v>1996</v>
      </c>
      <c r="I53" s="1">
        <v>2021</v>
      </c>
      <c r="J53" s="1">
        <v>5.05</v>
      </c>
      <c r="K53" s="1">
        <v>0</v>
      </c>
    </row>
    <row r="54" spans="1:12" x14ac:dyDescent="0.2">
      <c r="A54" s="1" t="s">
        <v>170</v>
      </c>
      <c r="B54" s="1" t="s">
        <v>172</v>
      </c>
      <c r="C54" s="1">
        <v>2009</v>
      </c>
      <c r="D54" s="1" t="s">
        <v>545</v>
      </c>
      <c r="E54" s="1" t="s">
        <v>281</v>
      </c>
      <c r="F54" s="1" t="s">
        <v>194</v>
      </c>
      <c r="G54" s="1">
        <v>5720000</v>
      </c>
      <c r="H54" s="1">
        <v>2005</v>
      </c>
      <c r="I54" s="1">
        <v>2025</v>
      </c>
      <c r="J54" s="1">
        <v>4.29</v>
      </c>
      <c r="K54" s="1">
        <v>5085000</v>
      </c>
    </row>
    <row r="55" spans="1:12" x14ac:dyDescent="0.2">
      <c r="A55" s="1" t="s">
        <v>170</v>
      </c>
      <c r="B55" s="1" t="s">
        <v>172</v>
      </c>
      <c r="C55" s="1">
        <v>2009</v>
      </c>
      <c r="D55" s="1" t="s">
        <v>597</v>
      </c>
      <c r="E55" s="1" t="s">
        <v>281</v>
      </c>
      <c r="F55" s="1" t="s">
        <v>194</v>
      </c>
      <c r="G55" s="1">
        <v>21660000</v>
      </c>
      <c r="H55" s="1">
        <v>2006</v>
      </c>
      <c r="I55" s="1">
        <v>2021</v>
      </c>
      <c r="J55" s="1">
        <v>4.29</v>
      </c>
      <c r="K55" s="1">
        <v>20155000</v>
      </c>
    </row>
    <row r="56" spans="1:12" x14ac:dyDescent="0.2">
      <c r="A56" s="1" t="s">
        <v>170</v>
      </c>
      <c r="B56" s="1" t="s">
        <v>172</v>
      </c>
      <c r="C56" s="1">
        <v>2009</v>
      </c>
      <c r="D56" s="1" t="s">
        <v>599</v>
      </c>
      <c r="E56" s="1" t="s">
        <v>492</v>
      </c>
      <c r="F56" s="1" t="s">
        <v>291</v>
      </c>
      <c r="G56" s="1">
        <v>4000000</v>
      </c>
      <c r="H56" s="1">
        <v>2009</v>
      </c>
      <c r="I56" s="1">
        <v>2018</v>
      </c>
      <c r="L56" s="1" t="s">
        <v>600</v>
      </c>
    </row>
    <row r="57" spans="1:12" x14ac:dyDescent="0.2">
      <c r="A57" s="1" t="s">
        <v>170</v>
      </c>
      <c r="B57" s="1" t="s">
        <v>172</v>
      </c>
      <c r="C57" s="1">
        <v>2012</v>
      </c>
      <c r="D57" s="1" t="s">
        <v>449</v>
      </c>
      <c r="E57" s="1" t="s">
        <v>281</v>
      </c>
      <c r="F57" s="1" t="s">
        <v>194</v>
      </c>
      <c r="G57" s="1">
        <v>15351908</v>
      </c>
      <c r="H57" s="1">
        <v>1991</v>
      </c>
      <c r="I57" s="1">
        <v>2021</v>
      </c>
      <c r="J57" s="1" t="s">
        <v>176</v>
      </c>
      <c r="K57" s="1">
        <v>454462</v>
      </c>
    </row>
    <row r="58" spans="1:12" x14ac:dyDescent="0.2">
      <c r="A58" s="1" t="s">
        <v>170</v>
      </c>
      <c r="B58" s="1" t="s">
        <v>172</v>
      </c>
      <c r="C58" s="1">
        <v>2012</v>
      </c>
      <c r="D58" s="1" t="s">
        <v>545</v>
      </c>
      <c r="E58" s="1" t="s">
        <v>281</v>
      </c>
      <c r="F58" s="1" t="s">
        <v>194</v>
      </c>
      <c r="G58" s="1">
        <v>5720000</v>
      </c>
      <c r="H58" s="1">
        <v>2005</v>
      </c>
      <c r="I58" s="1">
        <v>2025</v>
      </c>
      <c r="J58" s="1">
        <v>4.29</v>
      </c>
      <c r="K58" s="1">
        <v>4390000</v>
      </c>
    </row>
    <row r="59" spans="1:12" x14ac:dyDescent="0.2">
      <c r="A59" s="1" t="s">
        <v>170</v>
      </c>
      <c r="B59" s="1" t="s">
        <v>172</v>
      </c>
      <c r="C59" s="1">
        <v>2012</v>
      </c>
      <c r="D59" s="1" t="s">
        <v>597</v>
      </c>
      <c r="E59" s="1" t="s">
        <v>281</v>
      </c>
      <c r="F59" s="1" t="s">
        <v>194</v>
      </c>
      <c r="G59" s="1">
        <v>21660000</v>
      </c>
      <c r="H59" s="1">
        <v>2006</v>
      </c>
      <c r="I59" s="1">
        <v>2021</v>
      </c>
      <c r="J59" s="1">
        <v>4.29</v>
      </c>
      <c r="K59" s="1">
        <v>17735000</v>
      </c>
    </row>
    <row r="60" spans="1:12" x14ac:dyDescent="0.2">
      <c r="A60" s="1" t="s">
        <v>170</v>
      </c>
      <c r="B60" s="1" t="s">
        <v>172</v>
      </c>
      <c r="C60" s="1">
        <v>2012</v>
      </c>
      <c r="D60" s="1" t="s">
        <v>648</v>
      </c>
      <c r="E60" s="1" t="s">
        <v>649</v>
      </c>
      <c r="F60" s="1" t="s">
        <v>291</v>
      </c>
      <c r="H60" s="1">
        <v>2004</v>
      </c>
      <c r="K60" s="1">
        <v>66962</v>
      </c>
    </row>
    <row r="61" spans="1:12" x14ac:dyDescent="0.2">
      <c r="A61" s="1" t="s">
        <v>170</v>
      </c>
      <c r="B61" s="1" t="s">
        <v>172</v>
      </c>
      <c r="C61" s="1">
        <v>2012</v>
      </c>
      <c r="D61" s="1" t="s">
        <v>576</v>
      </c>
      <c r="E61" s="1" t="s">
        <v>173</v>
      </c>
      <c r="F61" s="1" t="s">
        <v>714</v>
      </c>
      <c r="G61" s="1">
        <v>4177250</v>
      </c>
      <c r="H61" s="1">
        <v>2007</v>
      </c>
      <c r="I61" s="1">
        <v>2027</v>
      </c>
      <c r="J61" s="1">
        <v>4.57</v>
      </c>
      <c r="K61" s="1">
        <v>3613819</v>
      </c>
    </row>
    <row r="62" spans="1:12" x14ac:dyDescent="0.2">
      <c r="A62" s="1" t="s">
        <v>170</v>
      </c>
      <c r="B62" s="1" t="s">
        <v>172</v>
      </c>
      <c r="C62" s="1">
        <v>2012</v>
      </c>
      <c r="D62" s="1" t="s">
        <v>651</v>
      </c>
      <c r="E62" s="1" t="s">
        <v>173</v>
      </c>
      <c r="F62" s="1" t="s">
        <v>194</v>
      </c>
      <c r="G62" s="1">
        <v>6270000</v>
      </c>
      <c r="H62" s="1">
        <v>2009</v>
      </c>
      <c r="I62" s="1">
        <v>2015</v>
      </c>
      <c r="J62" s="1">
        <v>2.25</v>
      </c>
      <c r="K62" s="1">
        <v>4415000</v>
      </c>
    </row>
    <row r="63" spans="1:12" x14ac:dyDescent="0.2">
      <c r="A63" s="1" t="s">
        <v>170</v>
      </c>
      <c r="B63" s="1" t="s">
        <v>172</v>
      </c>
      <c r="C63" s="1">
        <v>2012</v>
      </c>
      <c r="D63" s="1" t="s">
        <v>650</v>
      </c>
      <c r="E63" s="1" t="s">
        <v>173</v>
      </c>
      <c r="F63" s="1" t="s">
        <v>194</v>
      </c>
      <c r="G63" s="1">
        <v>10010000</v>
      </c>
      <c r="H63" s="1">
        <v>2009</v>
      </c>
      <c r="I63" s="1">
        <v>2023</v>
      </c>
      <c r="J63" s="1">
        <v>3.25</v>
      </c>
      <c r="K63" s="1">
        <v>9975000</v>
      </c>
    </row>
    <row r="64" spans="1:12" x14ac:dyDescent="0.2">
      <c r="A64" s="1" t="s">
        <v>170</v>
      </c>
      <c r="B64" s="1" t="s">
        <v>172</v>
      </c>
      <c r="C64" s="1">
        <v>2012</v>
      </c>
      <c r="D64" s="1" t="s">
        <v>652</v>
      </c>
      <c r="E64" s="1" t="s">
        <v>649</v>
      </c>
      <c r="F64" s="1" t="s">
        <v>291</v>
      </c>
      <c r="H64" s="1">
        <v>2012</v>
      </c>
      <c r="K64" s="1">
        <v>4360000</v>
      </c>
    </row>
    <row r="65" spans="1:12" x14ac:dyDescent="0.2">
      <c r="A65" s="1" t="s">
        <v>170</v>
      </c>
      <c r="B65" s="1" t="s">
        <v>172</v>
      </c>
      <c r="C65" s="1">
        <v>2012</v>
      </c>
      <c r="D65" s="1" t="s">
        <v>653</v>
      </c>
      <c r="F65" s="1" t="s">
        <v>176</v>
      </c>
      <c r="K65" s="1">
        <v>61742000</v>
      </c>
    </row>
    <row r="66" spans="1:12" x14ac:dyDescent="0.2">
      <c r="A66" s="1" t="s">
        <v>170</v>
      </c>
      <c r="B66" s="1" t="s">
        <v>172</v>
      </c>
      <c r="C66" s="1">
        <v>2012</v>
      </c>
      <c r="D66" s="1" t="s">
        <v>654</v>
      </c>
      <c r="F66" s="1" t="s">
        <v>176</v>
      </c>
      <c r="K66" s="1">
        <v>6378345</v>
      </c>
    </row>
    <row r="67" spans="1:12" x14ac:dyDescent="0.2">
      <c r="A67" s="1" t="s">
        <v>170</v>
      </c>
      <c r="B67" s="1" t="s">
        <v>172</v>
      </c>
      <c r="C67" s="1">
        <v>2012</v>
      </c>
      <c r="D67" s="1" t="s">
        <v>597</v>
      </c>
      <c r="E67" s="1" t="s">
        <v>281</v>
      </c>
      <c r="F67" s="1" t="s">
        <v>194</v>
      </c>
      <c r="G67" s="1">
        <v>21660000</v>
      </c>
      <c r="H67" s="1">
        <v>2006</v>
      </c>
      <c r="I67" s="1">
        <v>2021</v>
      </c>
      <c r="J67" s="1">
        <v>4.29</v>
      </c>
      <c r="K67" s="1">
        <v>11970000</v>
      </c>
      <c r="L67" s="1" t="s">
        <v>680</v>
      </c>
    </row>
    <row r="68" spans="1:12" x14ac:dyDescent="0.2">
      <c r="A68" s="1" t="s">
        <v>170</v>
      </c>
      <c r="B68" s="1" t="s">
        <v>172</v>
      </c>
      <c r="C68" s="1">
        <v>2012</v>
      </c>
      <c r="D68" s="1" t="s">
        <v>679</v>
      </c>
      <c r="E68" s="1" t="s">
        <v>281</v>
      </c>
      <c r="F68" s="1" t="s">
        <v>194</v>
      </c>
      <c r="G68" s="1">
        <v>4570000</v>
      </c>
      <c r="H68" s="1">
        <v>2012</v>
      </c>
      <c r="I68" s="1">
        <v>2025</v>
      </c>
      <c r="J68" s="1">
        <v>2.1080000000000001</v>
      </c>
      <c r="K68" s="1">
        <v>3475000</v>
      </c>
    </row>
    <row r="69" spans="1:12" x14ac:dyDescent="0.2">
      <c r="A69" s="1" t="s">
        <v>170</v>
      </c>
      <c r="B69" s="1" t="s">
        <v>172</v>
      </c>
      <c r="C69" s="1">
        <v>2012</v>
      </c>
      <c r="D69" s="1" t="s">
        <v>576</v>
      </c>
      <c r="E69" s="1" t="s">
        <v>173</v>
      </c>
      <c r="F69" s="1" t="s">
        <v>714</v>
      </c>
      <c r="G69" s="1">
        <v>4177250</v>
      </c>
      <c r="H69" s="1">
        <v>2007</v>
      </c>
      <c r="I69" s="1">
        <v>2027</v>
      </c>
      <c r="J69" s="1">
        <v>4.57</v>
      </c>
      <c r="K69" s="1">
        <v>2938768</v>
      </c>
    </row>
    <row r="70" spans="1:12" x14ac:dyDescent="0.2">
      <c r="A70" s="1" t="s">
        <v>170</v>
      </c>
      <c r="B70" s="1" t="s">
        <v>172</v>
      </c>
      <c r="C70" s="1">
        <v>2012</v>
      </c>
      <c r="D70" s="1" t="s">
        <v>651</v>
      </c>
      <c r="E70" s="1" t="s">
        <v>173</v>
      </c>
      <c r="F70" s="1" t="s">
        <v>194</v>
      </c>
      <c r="G70" s="1">
        <v>6270000</v>
      </c>
      <c r="H70" s="1">
        <v>2009</v>
      </c>
      <c r="I70" s="1">
        <v>2015</v>
      </c>
      <c r="J70" s="1">
        <v>2.25</v>
      </c>
      <c r="K70" s="1">
        <v>0</v>
      </c>
    </row>
    <row r="71" spans="1:12" x14ac:dyDescent="0.2">
      <c r="A71" s="1" t="s">
        <v>170</v>
      </c>
      <c r="B71" s="1" t="s">
        <v>172</v>
      </c>
      <c r="C71" s="1">
        <v>2012</v>
      </c>
      <c r="D71" s="1" t="s">
        <v>650</v>
      </c>
      <c r="E71" s="1" t="s">
        <v>173</v>
      </c>
      <c r="F71" s="1" t="s">
        <v>194</v>
      </c>
      <c r="G71" s="1">
        <v>10010000</v>
      </c>
      <c r="H71" s="1">
        <v>2009</v>
      </c>
      <c r="I71" s="1">
        <v>2023</v>
      </c>
      <c r="J71" s="1">
        <v>3.25</v>
      </c>
      <c r="K71" s="1">
        <v>5070000</v>
      </c>
    </row>
    <row r="72" spans="1:12" x14ac:dyDescent="0.2">
      <c r="A72" s="1" t="s">
        <v>170</v>
      </c>
      <c r="B72" s="1" t="s">
        <v>172</v>
      </c>
      <c r="C72" s="1">
        <v>2012</v>
      </c>
      <c r="D72" s="1" t="s">
        <v>709</v>
      </c>
      <c r="E72" s="1" t="s">
        <v>173</v>
      </c>
      <c r="F72" s="1" t="s">
        <v>194</v>
      </c>
      <c r="G72" s="1">
        <v>10010000</v>
      </c>
      <c r="H72" s="1">
        <v>2012</v>
      </c>
      <c r="I72" s="1">
        <v>2023</v>
      </c>
      <c r="J72" s="1">
        <v>2.1080000000000001</v>
      </c>
      <c r="K72" s="1">
        <v>5210000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42"/>
  <sheetViews>
    <sheetView workbookViewId="0">
      <pane ySplit="1" topLeftCell="A207" activePane="bottomLeft" state="frozen"/>
      <selection pane="bottomLeft" activeCell="C239" sqref="C239"/>
    </sheetView>
  </sheetViews>
  <sheetFormatPr baseColWidth="10" defaultColWidth="8.83203125" defaultRowHeight="15" x14ac:dyDescent="0.2"/>
  <cols>
    <col min="1" max="8" width="8.83203125" style="1"/>
    <col min="9" max="9" width="15" style="1" bestFit="1" customWidth="1"/>
    <col min="10" max="16384" width="8.83203125" style="1"/>
  </cols>
  <sheetData>
    <row r="1" spans="1:10" x14ac:dyDescent="0.2">
      <c r="A1" s="18" t="s">
        <v>0</v>
      </c>
      <c r="B1" s="18" t="s">
        <v>27</v>
      </c>
      <c r="C1" s="18" t="s">
        <v>2</v>
      </c>
      <c r="D1" s="18" t="s">
        <v>99</v>
      </c>
      <c r="E1" s="18" t="s">
        <v>105</v>
      </c>
      <c r="F1" s="18" t="s">
        <v>93</v>
      </c>
      <c r="G1" s="18" t="s">
        <v>106</v>
      </c>
      <c r="H1" s="18" t="s">
        <v>107</v>
      </c>
      <c r="I1" s="18" t="s">
        <v>108</v>
      </c>
      <c r="J1" s="18" t="s">
        <v>85</v>
      </c>
    </row>
    <row r="2" spans="1:10" x14ac:dyDescent="0.2">
      <c r="A2" s="1" t="s">
        <v>170</v>
      </c>
      <c r="B2" s="1" t="s">
        <v>172</v>
      </c>
      <c r="C2" s="1">
        <v>1990</v>
      </c>
      <c r="D2" s="1">
        <v>1991</v>
      </c>
      <c r="E2" s="1">
        <v>125000</v>
      </c>
      <c r="F2" s="1">
        <v>261515</v>
      </c>
      <c r="G2" s="1">
        <v>386515</v>
      </c>
    </row>
    <row r="3" spans="1:10" x14ac:dyDescent="0.2">
      <c r="A3" s="1" t="s">
        <v>170</v>
      </c>
      <c r="B3" s="1" t="s">
        <v>172</v>
      </c>
      <c r="C3" s="1">
        <v>1990</v>
      </c>
      <c r="D3" s="1">
        <v>1992</v>
      </c>
      <c r="E3" s="1">
        <v>130000</v>
      </c>
      <c r="F3" s="1">
        <v>360255</v>
      </c>
      <c r="G3" s="1">
        <v>490255</v>
      </c>
    </row>
    <row r="4" spans="1:10" x14ac:dyDescent="0.2">
      <c r="A4" s="1" t="s">
        <v>170</v>
      </c>
      <c r="B4" s="1" t="s">
        <v>172</v>
      </c>
      <c r="C4" s="1">
        <v>1990</v>
      </c>
      <c r="D4" s="1">
        <v>1993</v>
      </c>
      <c r="E4" s="1">
        <v>140000</v>
      </c>
      <c r="F4" s="1">
        <v>352195</v>
      </c>
      <c r="G4" s="1">
        <v>492195</v>
      </c>
    </row>
    <row r="5" spans="1:10" x14ac:dyDescent="0.2">
      <c r="A5" s="1" t="s">
        <v>170</v>
      </c>
      <c r="B5" s="1" t="s">
        <v>172</v>
      </c>
      <c r="C5" s="1">
        <v>1990</v>
      </c>
      <c r="D5" s="1">
        <v>1994</v>
      </c>
      <c r="E5" s="1">
        <v>150000</v>
      </c>
      <c r="F5" s="1">
        <v>343305</v>
      </c>
      <c r="G5" s="1">
        <v>493305</v>
      </c>
    </row>
    <row r="6" spans="1:10" x14ac:dyDescent="0.2">
      <c r="A6" s="1" t="s">
        <v>170</v>
      </c>
      <c r="B6" s="1" t="s">
        <v>172</v>
      </c>
      <c r="C6" s="1">
        <v>1990</v>
      </c>
      <c r="D6" s="1">
        <v>1995</v>
      </c>
      <c r="E6" s="1">
        <v>160000</v>
      </c>
      <c r="F6" s="1">
        <v>333555</v>
      </c>
      <c r="G6" s="1">
        <v>493555</v>
      </c>
    </row>
    <row r="7" spans="1:10" x14ac:dyDescent="0.2">
      <c r="A7" s="1" t="s">
        <v>170</v>
      </c>
      <c r="B7" s="1" t="s">
        <v>172</v>
      </c>
      <c r="C7" s="1">
        <v>1990</v>
      </c>
      <c r="D7" s="1">
        <v>1996</v>
      </c>
      <c r="E7" s="1">
        <v>170000</v>
      </c>
      <c r="F7" s="1">
        <v>322995</v>
      </c>
      <c r="G7" s="1">
        <v>492995</v>
      </c>
    </row>
    <row r="8" spans="1:10" x14ac:dyDescent="0.2">
      <c r="A8" s="1" t="s">
        <v>170</v>
      </c>
      <c r="B8" s="1" t="s">
        <v>172</v>
      </c>
      <c r="C8" s="1">
        <v>1990</v>
      </c>
      <c r="D8" s="1">
        <v>1997</v>
      </c>
      <c r="E8" s="1">
        <v>180000</v>
      </c>
      <c r="F8" s="1">
        <v>311605</v>
      </c>
      <c r="G8" s="1">
        <v>491605</v>
      </c>
    </row>
    <row r="9" spans="1:10" x14ac:dyDescent="0.2">
      <c r="A9" s="1" t="s">
        <v>170</v>
      </c>
      <c r="B9" s="1" t="s">
        <v>172</v>
      </c>
      <c r="C9" s="1">
        <v>1990</v>
      </c>
      <c r="D9" s="1">
        <v>1998</v>
      </c>
      <c r="E9" s="1">
        <v>190000</v>
      </c>
      <c r="F9" s="1">
        <v>299365</v>
      </c>
      <c r="G9" s="1">
        <v>489365</v>
      </c>
    </row>
    <row r="10" spans="1:10" x14ac:dyDescent="0.2">
      <c r="A10" s="1" t="s">
        <v>170</v>
      </c>
      <c r="B10" s="1" t="s">
        <v>172</v>
      </c>
      <c r="C10" s="1">
        <v>1990</v>
      </c>
      <c r="D10" s="1">
        <v>1999</v>
      </c>
      <c r="E10" s="1">
        <v>205000</v>
      </c>
      <c r="F10" s="1">
        <v>286255</v>
      </c>
      <c r="G10" s="1">
        <v>491255</v>
      </c>
    </row>
    <row r="11" spans="1:10" x14ac:dyDescent="0.2">
      <c r="A11" s="1" t="s">
        <v>170</v>
      </c>
      <c r="B11" s="1" t="s">
        <v>172</v>
      </c>
      <c r="C11" s="1">
        <v>1990</v>
      </c>
      <c r="D11" s="1">
        <v>2000</v>
      </c>
      <c r="E11" s="1">
        <v>220000</v>
      </c>
      <c r="F11" s="1">
        <v>271905</v>
      </c>
      <c r="G11" s="1">
        <v>491905</v>
      </c>
    </row>
    <row r="12" spans="1:10" x14ac:dyDescent="0.2">
      <c r="A12" s="1" t="s">
        <v>170</v>
      </c>
      <c r="B12" s="1" t="s">
        <v>172</v>
      </c>
      <c r="C12" s="1">
        <v>1990</v>
      </c>
      <c r="D12" s="1">
        <v>2001</v>
      </c>
      <c r="E12" s="1">
        <v>235000</v>
      </c>
      <c r="F12" s="1">
        <v>256175</v>
      </c>
      <c r="G12" s="1">
        <v>491175</v>
      </c>
    </row>
    <row r="13" spans="1:10" x14ac:dyDescent="0.2">
      <c r="A13" s="1" t="s">
        <v>170</v>
      </c>
      <c r="B13" s="1" t="s">
        <v>172</v>
      </c>
      <c r="C13" s="1">
        <v>1990</v>
      </c>
      <c r="D13" s="1">
        <v>2002</v>
      </c>
      <c r="E13" s="1">
        <v>250000</v>
      </c>
      <c r="F13" s="1">
        <v>239020</v>
      </c>
      <c r="G13" s="1">
        <v>489020</v>
      </c>
    </row>
    <row r="14" spans="1:10" x14ac:dyDescent="0.2">
      <c r="A14" s="1" t="s">
        <v>170</v>
      </c>
      <c r="B14" s="1" t="s">
        <v>172</v>
      </c>
      <c r="C14" s="1">
        <v>1990</v>
      </c>
      <c r="D14" s="1">
        <v>2003</v>
      </c>
      <c r="E14" s="1">
        <v>270000</v>
      </c>
      <c r="F14" s="1">
        <v>220520</v>
      </c>
      <c r="G14" s="1">
        <v>490520</v>
      </c>
    </row>
    <row r="15" spans="1:10" x14ac:dyDescent="0.2">
      <c r="A15" s="1" t="s">
        <v>170</v>
      </c>
      <c r="B15" s="1" t="s">
        <v>172</v>
      </c>
      <c r="C15" s="1">
        <v>1990</v>
      </c>
      <c r="D15" s="1">
        <v>2004</v>
      </c>
      <c r="E15" s="1">
        <v>290000</v>
      </c>
      <c r="F15" s="1">
        <v>200270</v>
      </c>
      <c r="G15" s="1">
        <v>490270</v>
      </c>
    </row>
    <row r="16" spans="1:10" x14ac:dyDescent="0.2">
      <c r="A16" s="1" t="s">
        <v>170</v>
      </c>
      <c r="B16" s="1" t="s">
        <v>172</v>
      </c>
      <c r="C16" s="1">
        <v>1990</v>
      </c>
      <c r="D16" s="1">
        <v>2005</v>
      </c>
      <c r="E16" s="1">
        <v>315000</v>
      </c>
      <c r="F16" s="1">
        <v>178230</v>
      </c>
      <c r="G16" s="1">
        <v>493230</v>
      </c>
    </row>
    <row r="17" spans="1:7" x14ac:dyDescent="0.2">
      <c r="A17" s="1" t="s">
        <v>170</v>
      </c>
      <c r="B17" s="1" t="s">
        <v>172</v>
      </c>
      <c r="C17" s="1">
        <v>1990</v>
      </c>
      <c r="D17" s="1">
        <v>2006</v>
      </c>
      <c r="E17" s="1">
        <v>335000</v>
      </c>
      <c r="F17" s="1">
        <v>153660</v>
      </c>
      <c r="G17" s="1">
        <v>488660</v>
      </c>
    </row>
    <row r="18" spans="1:7" x14ac:dyDescent="0.2">
      <c r="A18" s="1" t="s">
        <v>170</v>
      </c>
      <c r="B18" s="1" t="s">
        <v>172</v>
      </c>
      <c r="C18" s="1">
        <v>1990</v>
      </c>
      <c r="D18" s="1">
        <v>2007</v>
      </c>
      <c r="E18" s="1">
        <v>365000</v>
      </c>
      <c r="F18" s="1">
        <v>127530</v>
      </c>
      <c r="G18" s="1">
        <v>492530</v>
      </c>
    </row>
    <row r="19" spans="1:7" x14ac:dyDescent="0.2">
      <c r="A19" s="1" t="s">
        <v>170</v>
      </c>
      <c r="B19" s="1" t="s">
        <v>172</v>
      </c>
      <c r="C19" s="1">
        <v>1990</v>
      </c>
      <c r="D19" s="1">
        <v>2008</v>
      </c>
      <c r="E19" s="1">
        <v>390000</v>
      </c>
      <c r="F19" s="1">
        <v>99060</v>
      </c>
      <c r="G19" s="1">
        <v>489060</v>
      </c>
    </row>
    <row r="20" spans="1:7" x14ac:dyDescent="0.2">
      <c r="A20" s="1" t="s">
        <v>170</v>
      </c>
      <c r="B20" s="1" t="s">
        <v>172</v>
      </c>
      <c r="C20" s="1">
        <v>1990</v>
      </c>
      <c r="D20" s="1">
        <v>2009</v>
      </c>
      <c r="E20" s="1">
        <v>425000</v>
      </c>
      <c r="F20" s="1">
        <v>68640</v>
      </c>
      <c r="G20" s="1">
        <v>493640</v>
      </c>
    </row>
    <row r="21" spans="1:7" x14ac:dyDescent="0.2">
      <c r="A21" s="1" t="s">
        <v>170</v>
      </c>
      <c r="B21" s="1" t="s">
        <v>172</v>
      </c>
      <c r="C21" s="1">
        <v>1990</v>
      </c>
      <c r="D21" s="1">
        <v>2010</v>
      </c>
      <c r="E21" s="1">
        <v>455000</v>
      </c>
      <c r="F21" s="1">
        <v>35490</v>
      </c>
      <c r="G21" s="1">
        <v>490490</v>
      </c>
    </row>
    <row r="22" spans="1:7" x14ac:dyDescent="0.2">
      <c r="A22" s="1" t="s">
        <v>170</v>
      </c>
      <c r="B22" s="1" t="s">
        <v>172</v>
      </c>
      <c r="C22" s="1">
        <v>1991</v>
      </c>
      <c r="D22" s="1">
        <v>1991</v>
      </c>
      <c r="G22" s="1">
        <v>995583</v>
      </c>
    </row>
    <row r="23" spans="1:7" x14ac:dyDescent="0.2">
      <c r="A23" s="1" t="s">
        <v>170</v>
      </c>
      <c r="B23" s="1" t="s">
        <v>172</v>
      </c>
      <c r="C23" s="1">
        <v>1991</v>
      </c>
      <c r="D23" s="1">
        <v>1992</v>
      </c>
      <c r="G23" s="1">
        <v>2056562</v>
      </c>
    </row>
    <row r="24" spans="1:7" x14ac:dyDescent="0.2">
      <c r="A24" s="1" t="s">
        <v>170</v>
      </c>
      <c r="B24" s="1" t="s">
        <v>172</v>
      </c>
      <c r="C24" s="1">
        <v>1991</v>
      </c>
      <c r="D24" s="1">
        <v>1993</v>
      </c>
      <c r="G24" s="1">
        <v>2058451</v>
      </c>
    </row>
    <row r="25" spans="1:7" x14ac:dyDescent="0.2">
      <c r="A25" s="1" t="s">
        <v>170</v>
      </c>
      <c r="B25" s="1" t="s">
        <v>172</v>
      </c>
      <c r="C25" s="1">
        <v>1991</v>
      </c>
      <c r="D25" s="1">
        <v>1994</v>
      </c>
      <c r="G25" s="1">
        <v>2013650</v>
      </c>
    </row>
    <row r="26" spans="1:7" x14ac:dyDescent="0.2">
      <c r="A26" s="1" t="s">
        <v>170</v>
      </c>
      <c r="B26" s="1" t="s">
        <v>172</v>
      </c>
      <c r="C26" s="1">
        <v>1991</v>
      </c>
      <c r="D26" s="1">
        <v>1995</v>
      </c>
      <c r="G26" s="1">
        <v>2257584</v>
      </c>
    </row>
    <row r="27" spans="1:7" x14ac:dyDescent="0.2">
      <c r="A27" s="1" t="s">
        <v>170</v>
      </c>
      <c r="B27" s="1" t="s">
        <v>172</v>
      </c>
      <c r="C27" s="1">
        <v>1991</v>
      </c>
      <c r="D27" s="1">
        <v>1996</v>
      </c>
      <c r="G27" s="1">
        <v>2260059</v>
      </c>
    </row>
    <row r="28" spans="1:7" x14ac:dyDescent="0.2">
      <c r="A28" s="1" t="s">
        <v>170</v>
      </c>
      <c r="B28" s="1" t="s">
        <v>172</v>
      </c>
      <c r="C28" s="1">
        <v>1991</v>
      </c>
      <c r="D28" s="1">
        <v>1997</v>
      </c>
      <c r="G28" s="1">
        <v>2259727</v>
      </c>
    </row>
    <row r="29" spans="1:7" x14ac:dyDescent="0.2">
      <c r="A29" s="1" t="s">
        <v>170</v>
      </c>
      <c r="B29" s="1" t="s">
        <v>172</v>
      </c>
      <c r="C29" s="1">
        <v>1991</v>
      </c>
      <c r="D29" s="1">
        <v>1998</v>
      </c>
      <c r="G29" s="1">
        <v>2258844</v>
      </c>
    </row>
    <row r="30" spans="1:7" x14ac:dyDescent="0.2">
      <c r="A30" s="1" t="s">
        <v>170</v>
      </c>
      <c r="B30" s="1" t="s">
        <v>172</v>
      </c>
      <c r="C30" s="1">
        <v>1991</v>
      </c>
      <c r="D30" s="1">
        <v>1999</v>
      </c>
      <c r="G30" s="1">
        <v>2260000</v>
      </c>
    </row>
    <row r="31" spans="1:7" x14ac:dyDescent="0.2">
      <c r="A31" s="1" t="s">
        <v>170</v>
      </c>
      <c r="B31" s="1" t="s">
        <v>172</v>
      </c>
      <c r="C31" s="1">
        <v>1991</v>
      </c>
      <c r="D31" s="1">
        <v>2000</v>
      </c>
      <c r="G31" s="1">
        <f>900000+1360000</f>
        <v>2260000</v>
      </c>
    </row>
    <row r="32" spans="1:7" x14ac:dyDescent="0.2">
      <c r="A32" s="1" t="s">
        <v>170</v>
      </c>
      <c r="B32" s="1" t="s">
        <v>172</v>
      </c>
      <c r="C32" s="1">
        <v>1991</v>
      </c>
      <c r="D32" s="1">
        <v>2001</v>
      </c>
      <c r="G32" s="1">
        <f>885000+1375000</f>
        <v>2260000</v>
      </c>
    </row>
    <row r="33" spans="1:7" x14ac:dyDescent="0.2">
      <c r="A33" s="1" t="s">
        <v>170</v>
      </c>
      <c r="B33" s="1" t="s">
        <v>172</v>
      </c>
      <c r="C33" s="1">
        <v>1991</v>
      </c>
      <c r="D33" s="1">
        <v>2002</v>
      </c>
      <c r="G33" s="1">
        <f>865000+1395000</f>
        <v>2260000</v>
      </c>
    </row>
    <row r="34" spans="1:7" x14ac:dyDescent="0.2">
      <c r="A34" s="1" t="s">
        <v>170</v>
      </c>
      <c r="B34" s="1" t="s">
        <v>172</v>
      </c>
      <c r="C34" s="1">
        <v>1991</v>
      </c>
      <c r="D34" s="1">
        <v>2003</v>
      </c>
      <c r="G34" s="1">
        <f>845000+1410000</f>
        <v>2255000</v>
      </c>
    </row>
    <row r="35" spans="1:7" x14ac:dyDescent="0.2">
      <c r="A35" s="1" t="s">
        <v>170</v>
      </c>
      <c r="B35" s="1" t="s">
        <v>172</v>
      </c>
      <c r="C35" s="1">
        <v>1991</v>
      </c>
      <c r="D35" s="1">
        <v>2004</v>
      </c>
      <c r="G35" s="1">
        <f>825000+1435000</f>
        <v>2260000</v>
      </c>
    </row>
    <row r="36" spans="1:7" x14ac:dyDescent="0.2">
      <c r="A36" s="1" t="s">
        <v>170</v>
      </c>
      <c r="B36" s="1" t="s">
        <v>172</v>
      </c>
      <c r="C36" s="1">
        <v>1991</v>
      </c>
      <c r="D36" s="1">
        <v>2005</v>
      </c>
      <c r="G36" s="1">
        <f>805000+1460000</f>
        <v>2265000</v>
      </c>
    </row>
    <row r="37" spans="1:7" x14ac:dyDescent="0.2">
      <c r="A37" s="1" t="s">
        <v>170</v>
      </c>
      <c r="B37" s="1" t="s">
        <v>172</v>
      </c>
      <c r="C37" s="1">
        <v>1991</v>
      </c>
      <c r="D37" s="1">
        <v>2006</v>
      </c>
      <c r="G37" s="1">
        <f>780000+1480000</f>
        <v>2260000</v>
      </c>
    </row>
    <row r="38" spans="1:7" x14ac:dyDescent="0.2">
      <c r="A38" s="1" t="s">
        <v>170</v>
      </c>
      <c r="B38" s="1" t="s">
        <v>172</v>
      </c>
      <c r="C38" s="1">
        <v>1991</v>
      </c>
      <c r="D38" s="1">
        <v>2007</v>
      </c>
      <c r="G38" s="1">
        <f>755000+1510000</f>
        <v>2265000</v>
      </c>
    </row>
    <row r="39" spans="1:7" x14ac:dyDescent="0.2">
      <c r="A39" s="1" t="s">
        <v>170</v>
      </c>
      <c r="B39" s="1" t="s">
        <v>172</v>
      </c>
      <c r="C39" s="1">
        <v>1991</v>
      </c>
      <c r="D39" s="1">
        <v>2008</v>
      </c>
      <c r="G39" s="1">
        <f>725000+1540000</f>
        <v>2265000</v>
      </c>
    </row>
    <row r="40" spans="1:7" x14ac:dyDescent="0.2">
      <c r="A40" s="1" t="s">
        <v>170</v>
      </c>
      <c r="B40" s="1" t="s">
        <v>172</v>
      </c>
      <c r="C40" s="1">
        <v>1991</v>
      </c>
      <c r="D40" s="1">
        <v>2009</v>
      </c>
      <c r="G40" s="1">
        <f>695000+1565000</f>
        <v>2260000</v>
      </c>
    </row>
    <row r="41" spans="1:7" x14ac:dyDescent="0.2">
      <c r="A41" s="1" t="s">
        <v>170</v>
      </c>
      <c r="B41" s="1" t="s">
        <v>172</v>
      </c>
      <c r="C41" s="1">
        <v>1991</v>
      </c>
      <c r="D41" s="1">
        <v>2010</v>
      </c>
      <c r="G41" s="1">
        <f>660000+1600000</f>
        <v>2260000</v>
      </c>
    </row>
    <row r="42" spans="1:7" x14ac:dyDescent="0.2">
      <c r="A42" s="1" t="s">
        <v>170</v>
      </c>
      <c r="B42" s="1" t="s">
        <v>172</v>
      </c>
      <c r="C42" s="1">
        <v>1991</v>
      </c>
      <c r="D42" s="1">
        <v>2011</v>
      </c>
      <c r="G42" s="1">
        <f>625000+1635000</f>
        <v>2260000</v>
      </c>
    </row>
    <row r="43" spans="1:7" x14ac:dyDescent="0.2">
      <c r="A43" s="1" t="s">
        <v>170</v>
      </c>
      <c r="B43" s="1" t="s">
        <v>172</v>
      </c>
      <c r="C43" s="1">
        <v>1991</v>
      </c>
      <c r="D43" s="1">
        <v>2012</v>
      </c>
      <c r="G43" s="1">
        <f>590000+1675000</f>
        <v>2265000</v>
      </c>
    </row>
    <row r="44" spans="1:7" x14ac:dyDescent="0.2">
      <c r="A44" s="1" t="s">
        <v>170</v>
      </c>
      <c r="B44" s="1" t="s">
        <v>172</v>
      </c>
      <c r="C44" s="1">
        <v>1991</v>
      </c>
      <c r="D44" s="1">
        <v>2013</v>
      </c>
      <c r="G44" s="1">
        <f>545000+1710000</f>
        <v>2255000</v>
      </c>
    </row>
    <row r="45" spans="1:7" x14ac:dyDescent="0.2">
      <c r="A45" s="1" t="s">
        <v>170</v>
      </c>
      <c r="B45" s="1" t="s">
        <v>172</v>
      </c>
      <c r="C45" s="1">
        <v>1991</v>
      </c>
      <c r="D45" s="1">
        <v>2014</v>
      </c>
      <c r="G45" s="1">
        <f>505000+1760000</f>
        <v>2265000</v>
      </c>
    </row>
    <row r="46" spans="1:7" x14ac:dyDescent="0.2">
      <c r="A46" s="1" t="s">
        <v>170</v>
      </c>
      <c r="B46" s="1" t="s">
        <v>172</v>
      </c>
      <c r="C46" s="1">
        <v>1991</v>
      </c>
      <c r="D46" s="1">
        <v>2015</v>
      </c>
      <c r="G46" s="1">
        <f>455000+1805000</f>
        <v>2260000</v>
      </c>
    </row>
    <row r="47" spans="1:7" x14ac:dyDescent="0.2">
      <c r="A47" s="1" t="s">
        <v>170</v>
      </c>
      <c r="B47" s="1" t="s">
        <v>172</v>
      </c>
      <c r="C47" s="1">
        <v>1991</v>
      </c>
      <c r="D47" s="1">
        <v>2016</v>
      </c>
      <c r="G47" s="1">
        <f>405000+1860000</f>
        <v>2265000</v>
      </c>
    </row>
    <row r="48" spans="1:7" x14ac:dyDescent="0.2">
      <c r="A48" s="1" t="s">
        <v>170</v>
      </c>
      <c r="B48" s="1" t="s">
        <v>172</v>
      </c>
      <c r="C48" s="1">
        <v>1991</v>
      </c>
      <c r="D48" s="1">
        <v>2017</v>
      </c>
      <c r="G48" s="1">
        <f>350000+1910000</f>
        <v>2260000</v>
      </c>
    </row>
    <row r="49" spans="1:7" x14ac:dyDescent="0.2">
      <c r="A49" s="1" t="s">
        <v>170</v>
      </c>
      <c r="B49" s="1" t="s">
        <v>172</v>
      </c>
      <c r="C49" s="1">
        <v>1991</v>
      </c>
      <c r="D49" s="1">
        <v>2018</v>
      </c>
      <c r="G49" s="1">
        <f>290000+1975000</f>
        <v>2265000</v>
      </c>
    </row>
    <row r="50" spans="1:7" x14ac:dyDescent="0.2">
      <c r="A50" s="1" t="s">
        <v>170</v>
      </c>
      <c r="B50" s="1" t="s">
        <v>172</v>
      </c>
      <c r="C50" s="1">
        <v>1991</v>
      </c>
      <c r="D50" s="1">
        <v>2019</v>
      </c>
      <c r="G50" s="1">
        <f>225000+2035000</f>
        <v>2260000</v>
      </c>
    </row>
    <row r="51" spans="1:7" x14ac:dyDescent="0.2">
      <c r="A51" s="1" t="s">
        <v>170</v>
      </c>
      <c r="B51" s="1" t="s">
        <v>172</v>
      </c>
      <c r="C51" s="1">
        <v>1991</v>
      </c>
      <c r="D51" s="1">
        <v>2020</v>
      </c>
      <c r="G51" s="1">
        <f>155000+2100000</f>
        <v>2255000</v>
      </c>
    </row>
    <row r="52" spans="1:7" x14ac:dyDescent="0.2">
      <c r="A52" s="1" t="s">
        <v>170</v>
      </c>
      <c r="B52" s="1" t="s">
        <v>172</v>
      </c>
      <c r="C52" s="1">
        <v>1991</v>
      </c>
      <c r="D52" s="1">
        <v>2021</v>
      </c>
      <c r="G52" s="1">
        <f>80000+2180000</f>
        <v>2260000</v>
      </c>
    </row>
    <row r="53" spans="1:7" x14ac:dyDescent="0.2">
      <c r="A53" s="1" t="s">
        <v>170</v>
      </c>
      <c r="B53" s="1" t="s">
        <v>172</v>
      </c>
      <c r="C53" s="1">
        <v>1995</v>
      </c>
      <c r="D53" s="1">
        <v>1995</v>
      </c>
      <c r="E53" s="1">
        <v>0</v>
      </c>
      <c r="F53" s="1">
        <v>356041</v>
      </c>
      <c r="G53" s="1">
        <f>SUM(E53:F53)</f>
        <v>356041</v>
      </c>
    </row>
    <row r="54" spans="1:7" x14ac:dyDescent="0.2">
      <c r="A54" s="1" t="s">
        <v>170</v>
      </c>
      <c r="B54" s="1" t="s">
        <v>172</v>
      </c>
      <c r="C54" s="1">
        <v>1995</v>
      </c>
      <c r="D54" s="1">
        <v>1996</v>
      </c>
      <c r="E54" s="1">
        <v>185000</v>
      </c>
      <c r="F54" s="1">
        <v>712083</v>
      </c>
      <c r="G54" s="1">
        <f t="shared" ref="G54:G73" si="0">SUM(E54:F54)</f>
        <v>897083</v>
      </c>
    </row>
    <row r="55" spans="1:7" x14ac:dyDescent="0.2">
      <c r="A55" s="1" t="s">
        <v>170</v>
      </c>
      <c r="B55" s="1" t="s">
        <v>172</v>
      </c>
      <c r="C55" s="1">
        <v>1995</v>
      </c>
      <c r="D55" s="1">
        <v>1997</v>
      </c>
      <c r="E55" s="1">
        <v>195000</v>
      </c>
      <c r="F55" s="1">
        <v>704497</v>
      </c>
      <c r="G55" s="1">
        <f t="shared" si="0"/>
        <v>899497</v>
      </c>
    </row>
    <row r="56" spans="1:7" x14ac:dyDescent="0.2">
      <c r="A56" s="1" t="s">
        <v>170</v>
      </c>
      <c r="B56" s="1" t="s">
        <v>172</v>
      </c>
      <c r="C56" s="1">
        <v>1995</v>
      </c>
      <c r="D56" s="1">
        <v>1998</v>
      </c>
      <c r="E56" s="1">
        <v>470000</v>
      </c>
      <c r="F56" s="1">
        <v>696210</v>
      </c>
      <c r="G56" s="1">
        <f t="shared" si="0"/>
        <v>1166210</v>
      </c>
    </row>
    <row r="57" spans="1:7" x14ac:dyDescent="0.2">
      <c r="A57" s="1" t="s">
        <v>170</v>
      </c>
      <c r="B57" s="1" t="s">
        <v>172</v>
      </c>
      <c r="C57" s="1">
        <v>1995</v>
      </c>
      <c r="D57" s="1">
        <v>1999</v>
      </c>
      <c r="E57" s="1">
        <v>490000</v>
      </c>
      <c r="F57" s="1">
        <v>675765</v>
      </c>
      <c r="G57" s="1">
        <f t="shared" si="0"/>
        <v>1165765</v>
      </c>
    </row>
    <row r="58" spans="1:7" x14ac:dyDescent="0.2">
      <c r="A58" s="1" t="s">
        <v>170</v>
      </c>
      <c r="B58" s="1" t="s">
        <v>172</v>
      </c>
      <c r="C58" s="1">
        <v>1995</v>
      </c>
      <c r="D58" s="1">
        <v>2000</v>
      </c>
      <c r="E58" s="1">
        <v>515000</v>
      </c>
      <c r="F58" s="1">
        <v>653960</v>
      </c>
      <c r="G58" s="1">
        <f t="shared" si="0"/>
        <v>1168960</v>
      </c>
    </row>
    <row r="59" spans="1:7" x14ac:dyDescent="0.2">
      <c r="A59" s="1" t="s">
        <v>170</v>
      </c>
      <c r="B59" s="1" t="s">
        <v>172</v>
      </c>
      <c r="C59" s="1">
        <v>1995</v>
      </c>
      <c r="D59" s="1">
        <v>2001</v>
      </c>
      <c r="E59" s="1">
        <v>540000</v>
      </c>
      <c r="F59" s="1">
        <v>630528</v>
      </c>
      <c r="G59" s="1">
        <f t="shared" si="0"/>
        <v>1170528</v>
      </c>
    </row>
    <row r="60" spans="1:7" x14ac:dyDescent="0.2">
      <c r="A60" s="1" t="s">
        <v>170</v>
      </c>
      <c r="B60" s="1" t="s">
        <v>172</v>
      </c>
      <c r="C60" s="1">
        <v>1995</v>
      </c>
      <c r="D60" s="1">
        <v>2002</v>
      </c>
      <c r="E60" s="1">
        <v>565000</v>
      </c>
      <c r="F60" s="1">
        <v>605147</v>
      </c>
      <c r="G60" s="1">
        <f t="shared" si="0"/>
        <v>1170147</v>
      </c>
    </row>
    <row r="61" spans="1:7" x14ac:dyDescent="0.2">
      <c r="A61" s="1" t="s">
        <v>170</v>
      </c>
      <c r="B61" s="1" t="s">
        <v>172</v>
      </c>
      <c r="C61" s="1">
        <v>1995</v>
      </c>
      <c r="D61" s="1">
        <v>2003</v>
      </c>
      <c r="E61" s="1">
        <v>590000</v>
      </c>
      <c r="F61" s="1">
        <v>578028</v>
      </c>
      <c r="G61" s="1">
        <f t="shared" si="0"/>
        <v>1168028</v>
      </c>
    </row>
    <row r="62" spans="1:7" x14ac:dyDescent="0.2">
      <c r="A62" s="1" t="s">
        <v>170</v>
      </c>
      <c r="B62" s="1" t="s">
        <v>172</v>
      </c>
      <c r="C62" s="1">
        <v>1995</v>
      </c>
      <c r="D62" s="1">
        <v>2004</v>
      </c>
      <c r="E62" s="1">
        <v>620000</v>
      </c>
      <c r="F62" s="1">
        <v>549117</v>
      </c>
      <c r="G62" s="1">
        <f t="shared" si="0"/>
        <v>1169117</v>
      </c>
    </row>
    <row r="63" spans="1:7" x14ac:dyDescent="0.2">
      <c r="A63" s="1" t="s">
        <v>170</v>
      </c>
      <c r="B63" s="1" t="s">
        <v>172</v>
      </c>
      <c r="C63" s="1">
        <v>1995</v>
      </c>
      <c r="D63" s="1">
        <v>2005</v>
      </c>
      <c r="E63" s="1">
        <v>650000</v>
      </c>
      <c r="F63" s="1">
        <v>518118</v>
      </c>
      <c r="G63" s="1">
        <f t="shared" si="0"/>
        <v>1168118</v>
      </c>
    </row>
    <row r="64" spans="1:7" x14ac:dyDescent="0.2">
      <c r="A64" s="1" t="s">
        <v>170</v>
      </c>
      <c r="B64" s="1" t="s">
        <v>172</v>
      </c>
      <c r="C64" s="1">
        <v>1995</v>
      </c>
      <c r="D64" s="1">
        <v>2006</v>
      </c>
      <c r="E64" s="1">
        <v>680000</v>
      </c>
      <c r="F64" s="1">
        <v>485617</v>
      </c>
      <c r="G64" s="1">
        <f t="shared" si="0"/>
        <v>1165617</v>
      </c>
    </row>
    <row r="65" spans="1:10" x14ac:dyDescent="0.2">
      <c r="A65" s="1" t="s">
        <v>170</v>
      </c>
      <c r="B65" s="1" t="s">
        <v>172</v>
      </c>
      <c r="C65" s="1">
        <v>1995</v>
      </c>
      <c r="D65" s="1">
        <v>2007</v>
      </c>
      <c r="E65" s="1">
        <v>715000</v>
      </c>
      <c r="F65" s="1">
        <v>450598</v>
      </c>
      <c r="G65" s="1">
        <f t="shared" si="0"/>
        <v>1165598</v>
      </c>
    </row>
    <row r="66" spans="1:10" x14ac:dyDescent="0.2">
      <c r="A66" s="1" t="s">
        <v>170</v>
      </c>
      <c r="B66" s="1" t="s">
        <v>172</v>
      </c>
      <c r="C66" s="1">
        <v>1995</v>
      </c>
      <c r="D66" s="1">
        <v>2008</v>
      </c>
      <c r="E66" s="1">
        <v>755000</v>
      </c>
      <c r="F66" s="1">
        <v>413060</v>
      </c>
      <c r="G66" s="1">
        <f t="shared" si="0"/>
        <v>1168060</v>
      </c>
    </row>
    <row r="67" spans="1:10" x14ac:dyDescent="0.2">
      <c r="A67" s="1" t="s">
        <v>170</v>
      </c>
      <c r="B67" s="1" t="s">
        <v>172</v>
      </c>
      <c r="C67" s="1">
        <v>1995</v>
      </c>
      <c r="D67" s="1">
        <v>2009</v>
      </c>
      <c r="E67" s="1">
        <v>795000</v>
      </c>
      <c r="F67" s="1">
        <v>372668</v>
      </c>
      <c r="G67" s="1">
        <f t="shared" si="0"/>
        <v>1167668</v>
      </c>
    </row>
    <row r="68" spans="1:10" x14ac:dyDescent="0.2">
      <c r="A68" s="1" t="s">
        <v>170</v>
      </c>
      <c r="B68" s="1" t="s">
        <v>172</v>
      </c>
      <c r="C68" s="1">
        <v>1995</v>
      </c>
      <c r="D68" s="1">
        <v>2010</v>
      </c>
      <c r="E68" s="1">
        <v>840000</v>
      </c>
      <c r="F68" s="1">
        <v>329340</v>
      </c>
      <c r="G68" s="1">
        <f t="shared" si="0"/>
        <v>1169340</v>
      </c>
    </row>
    <row r="69" spans="1:10" x14ac:dyDescent="0.2">
      <c r="A69" s="1" t="s">
        <v>170</v>
      </c>
      <c r="B69" s="1" t="s">
        <v>172</v>
      </c>
      <c r="C69" s="1">
        <v>1995</v>
      </c>
      <c r="D69" s="1">
        <v>2011</v>
      </c>
      <c r="E69" s="1">
        <v>885000</v>
      </c>
      <c r="F69" s="1">
        <v>282720</v>
      </c>
      <c r="G69" s="1">
        <f t="shared" si="0"/>
        <v>1167720</v>
      </c>
    </row>
    <row r="70" spans="1:10" x14ac:dyDescent="0.2">
      <c r="A70" s="1" t="s">
        <v>170</v>
      </c>
      <c r="B70" s="1" t="s">
        <v>172</v>
      </c>
      <c r="C70" s="1">
        <v>1995</v>
      </c>
      <c r="D70" s="1">
        <v>2012</v>
      </c>
      <c r="E70" s="1">
        <v>935000</v>
      </c>
      <c r="F70" s="1">
        <v>232275</v>
      </c>
      <c r="G70" s="1">
        <f t="shared" si="0"/>
        <v>1167275</v>
      </c>
    </row>
    <row r="71" spans="1:10" x14ac:dyDescent="0.2">
      <c r="A71" s="1" t="s">
        <v>170</v>
      </c>
      <c r="B71" s="1" t="s">
        <v>172</v>
      </c>
      <c r="C71" s="1">
        <v>1995</v>
      </c>
      <c r="D71" s="1">
        <v>2013</v>
      </c>
      <c r="E71" s="1">
        <v>990000</v>
      </c>
      <c r="F71" s="1">
        <v>178980</v>
      </c>
      <c r="G71" s="1">
        <f t="shared" si="0"/>
        <v>1168980</v>
      </c>
    </row>
    <row r="72" spans="1:10" x14ac:dyDescent="0.2">
      <c r="A72" s="1" t="s">
        <v>170</v>
      </c>
      <c r="B72" s="1" t="s">
        <v>172</v>
      </c>
      <c r="C72" s="1">
        <v>1995</v>
      </c>
      <c r="D72" s="1">
        <v>2014</v>
      </c>
      <c r="E72" s="1">
        <v>1045000</v>
      </c>
      <c r="F72" s="1">
        <v>122550</v>
      </c>
      <c r="G72" s="1">
        <f t="shared" si="0"/>
        <v>1167550</v>
      </c>
    </row>
    <row r="73" spans="1:10" x14ac:dyDescent="0.2">
      <c r="A73" s="1" t="s">
        <v>170</v>
      </c>
      <c r="B73" s="1" t="s">
        <v>172</v>
      </c>
      <c r="C73" s="1">
        <v>1995</v>
      </c>
      <c r="D73" s="1">
        <v>2015</v>
      </c>
      <c r="E73" s="1">
        <v>1105000</v>
      </c>
      <c r="F73" s="1">
        <v>62985</v>
      </c>
      <c r="G73" s="1">
        <f t="shared" si="0"/>
        <v>1167985</v>
      </c>
    </row>
    <row r="74" spans="1:10" x14ac:dyDescent="0.2">
      <c r="A74" s="1" t="s">
        <v>170</v>
      </c>
      <c r="B74" s="1" t="s">
        <v>172</v>
      </c>
      <c r="C74" s="1">
        <v>1996</v>
      </c>
      <c r="D74" s="1">
        <v>1997</v>
      </c>
      <c r="E74" s="1">
        <v>1325000</v>
      </c>
      <c r="F74" s="1">
        <v>1074987</v>
      </c>
      <c r="G74" s="1">
        <v>2399987</v>
      </c>
      <c r="H74" s="1">
        <f>I74-G74</f>
        <v>186040</v>
      </c>
      <c r="I74" s="1">
        <v>2586027</v>
      </c>
      <c r="J74" s="1" t="s">
        <v>418</v>
      </c>
    </row>
    <row r="75" spans="1:10" x14ac:dyDescent="0.2">
      <c r="A75" s="1" t="s">
        <v>170</v>
      </c>
      <c r="B75" s="1" t="s">
        <v>172</v>
      </c>
      <c r="C75" s="1">
        <v>1996</v>
      </c>
      <c r="D75" s="1">
        <v>1998</v>
      </c>
      <c r="E75" s="1">
        <v>1160000</v>
      </c>
      <c r="F75" s="1">
        <v>1292909</v>
      </c>
      <c r="G75" s="1">
        <v>2452909</v>
      </c>
      <c r="H75" s="1">
        <f t="shared" ref="H75:H98" si="1">I75-G75</f>
        <v>183760</v>
      </c>
      <c r="I75" s="1">
        <v>2636669</v>
      </c>
      <c r="J75" s="1" t="s">
        <v>418</v>
      </c>
    </row>
    <row r="76" spans="1:10" x14ac:dyDescent="0.2">
      <c r="A76" s="1" t="s">
        <v>170</v>
      </c>
      <c r="B76" s="1" t="s">
        <v>172</v>
      </c>
      <c r="C76" s="1">
        <v>1996</v>
      </c>
      <c r="D76" s="1">
        <v>1999</v>
      </c>
      <c r="E76" s="1">
        <v>615000</v>
      </c>
      <c r="F76" s="1">
        <v>1836509</v>
      </c>
      <c r="G76" s="1">
        <v>2451509</v>
      </c>
      <c r="H76" s="1">
        <f>I76-G76</f>
        <v>770795</v>
      </c>
      <c r="I76" s="1">
        <v>3222304</v>
      </c>
      <c r="J76" s="1" t="s">
        <v>418</v>
      </c>
    </row>
    <row r="77" spans="1:10" x14ac:dyDescent="0.2">
      <c r="A77" s="1" t="s">
        <v>170</v>
      </c>
      <c r="B77" s="1" t="s">
        <v>172</v>
      </c>
      <c r="C77" s="1">
        <v>1996</v>
      </c>
      <c r="D77" s="1">
        <v>2000</v>
      </c>
      <c r="E77" s="1">
        <v>250000</v>
      </c>
      <c r="F77" s="1">
        <v>2210679</v>
      </c>
      <c r="G77" s="1">
        <v>2460679</v>
      </c>
      <c r="H77" s="1">
        <f>I77-G77</f>
        <v>1172115</v>
      </c>
      <c r="I77" s="1">
        <v>3632794</v>
      </c>
      <c r="J77" s="1" t="s">
        <v>418</v>
      </c>
    </row>
    <row r="78" spans="1:10" x14ac:dyDescent="0.2">
      <c r="A78" s="1" t="s">
        <v>170</v>
      </c>
      <c r="B78" s="1" t="s">
        <v>172</v>
      </c>
      <c r="C78" s="1">
        <v>1996</v>
      </c>
      <c r="D78" s="1">
        <v>2001</v>
      </c>
      <c r="E78" s="1">
        <v>260000</v>
      </c>
      <c r="F78" s="1">
        <v>2199929</v>
      </c>
      <c r="G78" s="1">
        <v>2459929</v>
      </c>
      <c r="H78" s="1">
        <f>I78-G78</f>
        <v>1172365</v>
      </c>
      <c r="I78" s="1">
        <v>3632294</v>
      </c>
      <c r="J78" s="1" t="s">
        <v>418</v>
      </c>
    </row>
    <row r="79" spans="1:10" x14ac:dyDescent="0.2">
      <c r="A79" s="1" t="s">
        <v>170</v>
      </c>
      <c r="B79" s="1" t="s">
        <v>172</v>
      </c>
      <c r="C79" s="1">
        <v>1996</v>
      </c>
      <c r="D79" s="1">
        <v>2002</v>
      </c>
      <c r="E79" s="1">
        <v>275000</v>
      </c>
      <c r="F79" s="1">
        <v>2188489</v>
      </c>
      <c r="G79" s="1">
        <v>2463489</v>
      </c>
      <c r="H79" s="1">
        <f t="shared" si="1"/>
        <v>1171645</v>
      </c>
      <c r="I79" s="1">
        <v>3635134</v>
      </c>
      <c r="J79" s="1" t="s">
        <v>418</v>
      </c>
    </row>
    <row r="80" spans="1:10" x14ac:dyDescent="0.2">
      <c r="A80" s="1" t="s">
        <v>170</v>
      </c>
      <c r="B80" s="1" t="s">
        <v>172</v>
      </c>
      <c r="C80" s="1">
        <v>1996</v>
      </c>
      <c r="D80" s="1">
        <v>2003</v>
      </c>
      <c r="E80" s="1">
        <v>475000</v>
      </c>
      <c r="F80" s="1">
        <v>2176114</v>
      </c>
      <c r="G80" s="1">
        <v>2651114</v>
      </c>
      <c r="H80" s="1">
        <f t="shared" si="1"/>
        <v>990000</v>
      </c>
      <c r="I80" s="1">
        <v>3641114</v>
      </c>
      <c r="J80" s="1" t="s">
        <v>418</v>
      </c>
    </row>
    <row r="81" spans="1:10" x14ac:dyDescent="0.2">
      <c r="A81" s="1" t="s">
        <v>170</v>
      </c>
      <c r="B81" s="1" t="s">
        <v>172</v>
      </c>
      <c r="C81" s="1">
        <v>1996</v>
      </c>
      <c r="D81" s="1">
        <v>2004</v>
      </c>
      <c r="E81" s="1">
        <v>505000</v>
      </c>
      <c r="F81" s="1">
        <v>2154500</v>
      </c>
      <c r="G81" s="1">
        <v>2659500</v>
      </c>
      <c r="H81" s="1">
        <f t="shared" si="1"/>
        <v>990000</v>
      </c>
      <c r="I81" s="1">
        <v>3649500</v>
      </c>
      <c r="J81" s="1" t="s">
        <v>418</v>
      </c>
    </row>
    <row r="82" spans="1:10" x14ac:dyDescent="0.2">
      <c r="A82" s="1" t="s">
        <v>170</v>
      </c>
      <c r="B82" s="1" t="s">
        <v>172</v>
      </c>
      <c r="C82" s="1">
        <v>1996</v>
      </c>
      <c r="D82" s="1">
        <v>2005</v>
      </c>
      <c r="E82" s="1">
        <v>525000</v>
      </c>
      <c r="F82" s="1">
        <v>2136018</v>
      </c>
      <c r="G82" s="1">
        <v>2661018</v>
      </c>
      <c r="H82" s="1">
        <f t="shared" si="1"/>
        <v>995000</v>
      </c>
      <c r="I82" s="1">
        <v>3656018</v>
      </c>
      <c r="J82" s="1" t="s">
        <v>418</v>
      </c>
    </row>
    <row r="83" spans="1:10" x14ac:dyDescent="0.2">
      <c r="A83" s="1" t="s">
        <v>170</v>
      </c>
      <c r="B83" s="1" t="s">
        <v>172</v>
      </c>
      <c r="C83" s="1">
        <v>1996</v>
      </c>
      <c r="D83" s="1">
        <v>2006</v>
      </c>
      <c r="E83" s="1">
        <v>545000</v>
      </c>
      <c r="F83" s="1">
        <v>2111081</v>
      </c>
      <c r="G83" s="1">
        <v>2656081</v>
      </c>
      <c r="H83" s="1">
        <f t="shared" si="1"/>
        <v>995000</v>
      </c>
      <c r="I83" s="1">
        <v>3651081</v>
      </c>
      <c r="J83" s="1" t="s">
        <v>418</v>
      </c>
    </row>
    <row r="84" spans="1:10" x14ac:dyDescent="0.2">
      <c r="A84" s="1" t="s">
        <v>170</v>
      </c>
      <c r="B84" s="1" t="s">
        <v>172</v>
      </c>
      <c r="C84" s="1">
        <v>1996</v>
      </c>
      <c r="D84" s="1">
        <v>2007</v>
      </c>
      <c r="E84" s="1">
        <v>580000</v>
      </c>
      <c r="F84" s="1">
        <v>2079649</v>
      </c>
      <c r="G84" s="1">
        <v>2659649</v>
      </c>
      <c r="H84" s="1">
        <f t="shared" si="1"/>
        <v>990000</v>
      </c>
      <c r="I84" s="1">
        <v>3649649</v>
      </c>
      <c r="J84" s="1" t="s">
        <v>418</v>
      </c>
    </row>
    <row r="85" spans="1:10" x14ac:dyDescent="0.2">
      <c r="A85" s="1" t="s">
        <v>170</v>
      </c>
      <c r="B85" s="1" t="s">
        <v>172</v>
      </c>
      <c r="C85" s="1">
        <v>1996</v>
      </c>
      <c r="D85" s="1">
        <v>2008</v>
      </c>
      <c r="E85" s="1">
        <v>610000</v>
      </c>
      <c r="F85" s="1">
        <v>2055649</v>
      </c>
      <c r="G85" s="1">
        <v>2665649</v>
      </c>
      <c r="H85" s="1">
        <f t="shared" si="1"/>
        <v>995000</v>
      </c>
      <c r="I85" s="1">
        <v>3660649</v>
      </c>
      <c r="J85" s="1" t="s">
        <v>418</v>
      </c>
    </row>
    <row r="86" spans="1:10" x14ac:dyDescent="0.2">
      <c r="A86" s="1" t="s">
        <v>170</v>
      </c>
      <c r="B86" s="1" t="s">
        <v>172</v>
      </c>
      <c r="C86" s="1">
        <v>1996</v>
      </c>
      <c r="D86" s="1">
        <v>2009</v>
      </c>
      <c r="E86" s="1">
        <v>640000</v>
      </c>
      <c r="F86" s="1">
        <v>2020149</v>
      </c>
      <c r="G86" s="1">
        <v>2660149</v>
      </c>
      <c r="H86" s="1">
        <f t="shared" si="1"/>
        <v>990000</v>
      </c>
      <c r="I86" s="1">
        <v>3650149</v>
      </c>
      <c r="J86" s="1" t="s">
        <v>418</v>
      </c>
    </row>
    <row r="87" spans="1:10" x14ac:dyDescent="0.2">
      <c r="A87" s="1" t="s">
        <v>170</v>
      </c>
      <c r="B87" s="1" t="s">
        <v>172</v>
      </c>
      <c r="C87" s="1">
        <v>1996</v>
      </c>
      <c r="D87" s="1">
        <v>2010</v>
      </c>
      <c r="E87" s="1">
        <v>670000</v>
      </c>
      <c r="F87" s="1">
        <v>1987189</v>
      </c>
      <c r="G87" s="1">
        <v>2657189</v>
      </c>
      <c r="H87" s="1">
        <f t="shared" si="1"/>
        <v>990000</v>
      </c>
      <c r="I87" s="1">
        <v>3647189</v>
      </c>
      <c r="J87" s="1" t="s">
        <v>418</v>
      </c>
    </row>
    <row r="88" spans="1:10" x14ac:dyDescent="0.2">
      <c r="A88" s="1" t="s">
        <v>170</v>
      </c>
      <c r="B88" s="1" t="s">
        <v>172</v>
      </c>
      <c r="C88" s="1">
        <v>1996</v>
      </c>
      <c r="D88" s="1">
        <v>2011</v>
      </c>
      <c r="E88" s="1">
        <v>705000</v>
      </c>
      <c r="F88" s="1">
        <v>1950673</v>
      </c>
      <c r="G88" s="1">
        <v>2655673</v>
      </c>
      <c r="H88" s="1">
        <f t="shared" si="1"/>
        <v>990000</v>
      </c>
      <c r="I88" s="1">
        <v>3645673</v>
      </c>
      <c r="J88" s="1" t="s">
        <v>418</v>
      </c>
    </row>
    <row r="89" spans="1:10" x14ac:dyDescent="0.2">
      <c r="A89" s="1" t="s">
        <v>170</v>
      </c>
      <c r="B89" s="1" t="s">
        <v>172</v>
      </c>
      <c r="C89" s="1">
        <v>1996</v>
      </c>
      <c r="D89" s="1">
        <v>2012</v>
      </c>
      <c r="E89" s="1">
        <v>750000</v>
      </c>
      <c r="F89" s="1">
        <v>1917251</v>
      </c>
      <c r="G89" s="1">
        <v>2667251</v>
      </c>
      <c r="H89" s="1">
        <f t="shared" si="1"/>
        <v>995000</v>
      </c>
      <c r="I89" s="1">
        <v>3662251</v>
      </c>
      <c r="J89" s="1" t="s">
        <v>418</v>
      </c>
    </row>
    <row r="90" spans="1:10" x14ac:dyDescent="0.2">
      <c r="A90" s="1" t="s">
        <v>170</v>
      </c>
      <c r="B90" s="1" t="s">
        <v>172</v>
      </c>
      <c r="C90" s="1">
        <v>1996</v>
      </c>
      <c r="D90" s="1">
        <v>2013</v>
      </c>
      <c r="E90" s="1">
        <v>785000</v>
      </c>
      <c r="F90" s="1">
        <v>1876375</v>
      </c>
      <c r="G90" s="1">
        <v>2661375</v>
      </c>
      <c r="H90" s="1">
        <f t="shared" si="1"/>
        <v>995000</v>
      </c>
      <c r="I90" s="1">
        <v>3656375</v>
      </c>
      <c r="J90" s="1" t="s">
        <v>418</v>
      </c>
    </row>
    <row r="91" spans="1:10" x14ac:dyDescent="0.2">
      <c r="A91" s="1" t="s">
        <v>170</v>
      </c>
      <c r="B91" s="1" t="s">
        <v>172</v>
      </c>
      <c r="C91" s="1">
        <v>1996</v>
      </c>
      <c r="D91" s="1">
        <v>2014</v>
      </c>
      <c r="E91" s="1">
        <v>1820000</v>
      </c>
      <c r="F91" s="1">
        <v>838200</v>
      </c>
      <c r="G91" s="1">
        <v>2658200</v>
      </c>
      <c r="H91" s="1">
        <f t="shared" si="1"/>
        <v>0</v>
      </c>
      <c r="I91" s="1">
        <v>2658200</v>
      </c>
      <c r="J91" s="1" t="s">
        <v>418</v>
      </c>
    </row>
    <row r="92" spans="1:10" x14ac:dyDescent="0.2">
      <c r="A92" s="1" t="s">
        <v>170</v>
      </c>
      <c r="B92" s="1" t="s">
        <v>172</v>
      </c>
      <c r="C92" s="1">
        <v>1996</v>
      </c>
      <c r="D92" s="1">
        <v>2015</v>
      </c>
      <c r="E92" s="1">
        <v>1920000</v>
      </c>
      <c r="F92" s="1">
        <v>738100</v>
      </c>
      <c r="G92" s="1">
        <v>2658100</v>
      </c>
      <c r="H92" s="1">
        <f t="shared" si="1"/>
        <v>0</v>
      </c>
      <c r="I92" s="1">
        <v>2658100</v>
      </c>
      <c r="J92" s="1" t="s">
        <v>418</v>
      </c>
    </row>
    <row r="93" spans="1:10" x14ac:dyDescent="0.2">
      <c r="A93" s="1" t="s">
        <v>170</v>
      </c>
      <c r="B93" s="1" t="s">
        <v>172</v>
      </c>
      <c r="C93" s="1">
        <v>1996</v>
      </c>
      <c r="D93" s="1">
        <v>2016</v>
      </c>
      <c r="E93" s="1">
        <v>1850000</v>
      </c>
      <c r="F93" s="1">
        <v>632500</v>
      </c>
      <c r="G93" s="1">
        <v>2482500</v>
      </c>
      <c r="H93" s="1">
        <f t="shared" si="1"/>
        <v>0</v>
      </c>
      <c r="I93" s="1">
        <v>2482500</v>
      </c>
      <c r="J93" s="1" t="s">
        <v>418</v>
      </c>
    </row>
    <row r="94" spans="1:10" x14ac:dyDescent="0.2">
      <c r="A94" s="1" t="s">
        <v>170</v>
      </c>
      <c r="B94" s="1" t="s">
        <v>172</v>
      </c>
      <c r="C94" s="1">
        <v>1996</v>
      </c>
      <c r="D94" s="1">
        <v>2017</v>
      </c>
      <c r="E94" s="1">
        <v>1730000</v>
      </c>
      <c r="F94" s="1">
        <v>530750</v>
      </c>
      <c r="G94" s="1">
        <v>2260750</v>
      </c>
      <c r="H94" s="1">
        <f t="shared" si="1"/>
        <v>0</v>
      </c>
      <c r="I94" s="1">
        <v>2260750</v>
      </c>
      <c r="J94" s="1" t="s">
        <v>418</v>
      </c>
    </row>
    <row r="95" spans="1:10" x14ac:dyDescent="0.2">
      <c r="A95" s="1" t="s">
        <v>170</v>
      </c>
      <c r="B95" s="1" t="s">
        <v>172</v>
      </c>
      <c r="C95" s="1">
        <v>1996</v>
      </c>
      <c r="D95" s="1">
        <v>2018</v>
      </c>
      <c r="E95" s="1">
        <v>1830000</v>
      </c>
      <c r="F95" s="1">
        <v>435600</v>
      </c>
      <c r="G95" s="1">
        <v>2265600</v>
      </c>
      <c r="H95" s="1">
        <f t="shared" si="1"/>
        <v>0</v>
      </c>
      <c r="I95" s="1">
        <v>2265600</v>
      </c>
      <c r="J95" s="1" t="s">
        <v>418</v>
      </c>
    </row>
    <row r="96" spans="1:10" x14ac:dyDescent="0.2">
      <c r="A96" s="1" t="s">
        <v>170</v>
      </c>
      <c r="B96" s="1" t="s">
        <v>172</v>
      </c>
      <c r="C96" s="1">
        <v>1996</v>
      </c>
      <c r="D96" s="1">
        <v>2019</v>
      </c>
      <c r="E96" s="1">
        <v>1925000</v>
      </c>
      <c r="F96" s="1">
        <v>334950</v>
      </c>
      <c r="G96" s="1">
        <v>2259950</v>
      </c>
      <c r="H96" s="1">
        <f t="shared" si="1"/>
        <v>0</v>
      </c>
      <c r="I96" s="1">
        <v>2259950</v>
      </c>
      <c r="J96" s="1" t="s">
        <v>418</v>
      </c>
    </row>
    <row r="97" spans="1:10" x14ac:dyDescent="0.2">
      <c r="A97" s="1" t="s">
        <v>170</v>
      </c>
      <c r="B97" s="1" t="s">
        <v>172</v>
      </c>
      <c r="C97" s="1">
        <v>1996</v>
      </c>
      <c r="D97" s="1">
        <v>2020</v>
      </c>
      <c r="E97" s="1">
        <v>2025000</v>
      </c>
      <c r="F97" s="1">
        <v>229075</v>
      </c>
      <c r="G97" s="1">
        <v>2254075</v>
      </c>
      <c r="H97" s="1">
        <f t="shared" si="1"/>
        <v>0</v>
      </c>
      <c r="I97" s="1">
        <v>2254075</v>
      </c>
      <c r="J97" s="1" t="s">
        <v>418</v>
      </c>
    </row>
    <row r="98" spans="1:10" x14ac:dyDescent="0.2">
      <c r="A98" s="1" t="s">
        <v>170</v>
      </c>
      <c r="B98" s="1" t="s">
        <v>172</v>
      </c>
      <c r="C98" s="1">
        <v>1996</v>
      </c>
      <c r="D98" s="1">
        <v>2021</v>
      </c>
      <c r="E98" s="1">
        <v>2140000</v>
      </c>
      <c r="F98" s="1">
        <v>117700</v>
      </c>
      <c r="G98" s="1">
        <v>2257700</v>
      </c>
      <c r="H98" s="1">
        <f t="shared" si="1"/>
        <v>0</v>
      </c>
      <c r="I98" s="1">
        <v>2257700</v>
      </c>
      <c r="J98" s="1" t="s">
        <v>418</v>
      </c>
    </row>
    <row r="99" spans="1:10" x14ac:dyDescent="0.2">
      <c r="A99" s="1" t="s">
        <v>170</v>
      </c>
      <c r="B99" s="1" t="s">
        <v>172</v>
      </c>
      <c r="C99" s="1">
        <v>1998</v>
      </c>
      <c r="D99" s="1">
        <v>1998</v>
      </c>
      <c r="E99" s="1">
        <v>0</v>
      </c>
      <c r="F99" s="1">
        <v>160385</v>
      </c>
      <c r="G99" s="1">
        <v>160385</v>
      </c>
      <c r="H99" s="1">
        <v>416689</v>
      </c>
      <c r="I99" s="1">
        <f>SUM(G99:H99)</f>
        <v>577074</v>
      </c>
      <c r="J99" s="1" t="s">
        <v>431</v>
      </c>
    </row>
    <row r="100" spans="1:10" x14ac:dyDescent="0.2">
      <c r="A100" s="1" t="s">
        <v>170</v>
      </c>
      <c r="B100" s="1" t="s">
        <v>172</v>
      </c>
      <c r="C100" s="1">
        <v>1998</v>
      </c>
      <c r="D100" s="1">
        <v>1999</v>
      </c>
      <c r="E100" s="1">
        <v>125000</v>
      </c>
      <c r="F100" s="1">
        <v>384925</v>
      </c>
      <c r="G100" s="1">
        <v>509925</v>
      </c>
      <c r="H100" s="1">
        <v>540762</v>
      </c>
      <c r="I100" s="1">
        <f t="shared" ref="I100:I116" si="2">SUM(G100:H100)</f>
        <v>1050687</v>
      </c>
      <c r="J100" s="1" t="s">
        <v>431</v>
      </c>
    </row>
    <row r="101" spans="1:10" x14ac:dyDescent="0.2">
      <c r="A101" s="1" t="s">
        <v>170</v>
      </c>
      <c r="B101" s="1" t="s">
        <v>172</v>
      </c>
      <c r="C101" s="1">
        <v>1998</v>
      </c>
      <c r="D101" s="1">
        <v>2000</v>
      </c>
      <c r="E101" s="1">
        <v>245000</v>
      </c>
      <c r="F101" s="1">
        <v>380175</v>
      </c>
      <c r="G101" s="1">
        <v>625175</v>
      </c>
      <c r="H101" s="1">
        <v>542413</v>
      </c>
      <c r="I101" s="1">
        <f t="shared" si="2"/>
        <v>1167588</v>
      </c>
      <c r="J101" s="1" t="s">
        <v>431</v>
      </c>
    </row>
    <row r="102" spans="1:10" x14ac:dyDescent="0.2">
      <c r="A102" s="1" t="s">
        <v>170</v>
      </c>
      <c r="B102" s="1" t="s">
        <v>172</v>
      </c>
      <c r="C102" s="1">
        <v>1998</v>
      </c>
      <c r="D102" s="1">
        <v>2001</v>
      </c>
      <c r="E102" s="1">
        <v>255000</v>
      </c>
      <c r="F102" s="1">
        <v>370375</v>
      </c>
      <c r="G102" s="1">
        <v>625375</v>
      </c>
      <c r="H102" s="1">
        <v>543080</v>
      </c>
      <c r="I102" s="1">
        <f t="shared" si="2"/>
        <v>1168455</v>
      </c>
      <c r="J102" s="1" t="s">
        <v>431</v>
      </c>
    </row>
    <row r="103" spans="1:10" x14ac:dyDescent="0.2">
      <c r="A103" s="1" t="s">
        <v>170</v>
      </c>
      <c r="B103" s="1" t="s">
        <v>172</v>
      </c>
      <c r="C103" s="1">
        <v>1998</v>
      </c>
      <c r="D103" s="1">
        <v>2002</v>
      </c>
      <c r="E103" s="1">
        <v>265000</v>
      </c>
      <c r="F103" s="1">
        <v>360175</v>
      </c>
      <c r="G103" s="1">
        <v>625175</v>
      </c>
      <c r="H103" s="1">
        <v>542570</v>
      </c>
      <c r="I103" s="1">
        <f t="shared" si="2"/>
        <v>1167745</v>
      </c>
      <c r="J103" s="1" t="s">
        <v>431</v>
      </c>
    </row>
    <row r="104" spans="1:10" x14ac:dyDescent="0.2">
      <c r="A104" s="1" t="s">
        <v>170</v>
      </c>
      <c r="B104" s="1" t="s">
        <v>172</v>
      </c>
      <c r="C104" s="1">
        <v>1998</v>
      </c>
      <c r="D104" s="1">
        <v>2003</v>
      </c>
      <c r="E104" s="1">
        <v>280000</v>
      </c>
      <c r="F104" s="1">
        <v>349310</v>
      </c>
      <c r="G104" s="1">
        <v>629310</v>
      </c>
      <c r="H104" s="1">
        <v>541010</v>
      </c>
      <c r="I104" s="1">
        <f t="shared" si="2"/>
        <v>1170320</v>
      </c>
      <c r="J104" s="1" t="s">
        <v>431</v>
      </c>
    </row>
    <row r="105" spans="1:10" x14ac:dyDescent="0.2">
      <c r="A105" s="1" t="s">
        <v>170</v>
      </c>
      <c r="B105" s="1" t="s">
        <v>172</v>
      </c>
      <c r="C105" s="1">
        <v>1998</v>
      </c>
      <c r="D105" s="1">
        <v>2004</v>
      </c>
      <c r="E105" s="1">
        <v>290000</v>
      </c>
      <c r="F105" s="1">
        <v>337830</v>
      </c>
      <c r="G105" s="1">
        <v>627830</v>
      </c>
      <c r="H105" s="1">
        <v>543370</v>
      </c>
      <c r="I105" s="1">
        <f t="shared" si="2"/>
        <v>1171200</v>
      </c>
      <c r="J105" s="1" t="s">
        <v>431</v>
      </c>
    </row>
    <row r="106" spans="1:10" x14ac:dyDescent="0.2">
      <c r="A106" s="1" t="s">
        <v>170</v>
      </c>
      <c r="B106" s="1" t="s">
        <v>172</v>
      </c>
      <c r="C106" s="1">
        <v>1998</v>
      </c>
      <c r="D106" s="1">
        <v>2005</v>
      </c>
      <c r="E106" s="1">
        <v>300000</v>
      </c>
      <c r="F106" s="1">
        <v>325650</v>
      </c>
      <c r="G106" s="1">
        <v>625650</v>
      </c>
      <c r="H106" s="1">
        <v>544370</v>
      </c>
      <c r="I106" s="1">
        <f t="shared" si="2"/>
        <v>1170020</v>
      </c>
      <c r="J106" s="1" t="s">
        <v>431</v>
      </c>
    </row>
    <row r="107" spans="1:10" x14ac:dyDescent="0.2">
      <c r="A107" s="1" t="s">
        <v>170</v>
      </c>
      <c r="B107" s="1" t="s">
        <v>172</v>
      </c>
      <c r="C107" s="1">
        <v>1998</v>
      </c>
      <c r="D107" s="1">
        <v>2006</v>
      </c>
      <c r="E107" s="1">
        <v>315000</v>
      </c>
      <c r="F107" s="1">
        <v>312900</v>
      </c>
      <c r="G107" s="1">
        <v>627900</v>
      </c>
      <c r="H107" s="1">
        <v>539370</v>
      </c>
      <c r="I107" s="1">
        <f t="shared" si="2"/>
        <v>1167270</v>
      </c>
      <c r="J107" s="1" t="s">
        <v>431</v>
      </c>
    </row>
    <row r="108" spans="1:10" x14ac:dyDescent="0.2">
      <c r="A108" s="1" t="s">
        <v>170</v>
      </c>
      <c r="B108" s="1" t="s">
        <v>172</v>
      </c>
      <c r="C108" s="1">
        <v>1998</v>
      </c>
      <c r="D108" s="1">
        <v>2007</v>
      </c>
      <c r="E108" s="1">
        <v>325000</v>
      </c>
      <c r="F108" s="1">
        <v>299355</v>
      </c>
      <c r="G108" s="1">
        <v>624355</v>
      </c>
      <c r="H108" s="1">
        <v>542997</v>
      </c>
      <c r="I108" s="1">
        <f t="shared" si="2"/>
        <v>1167352</v>
      </c>
      <c r="J108" s="1" t="s">
        <v>431</v>
      </c>
    </row>
    <row r="109" spans="1:10" x14ac:dyDescent="0.2">
      <c r="A109" s="1" t="s">
        <v>170</v>
      </c>
      <c r="B109" s="1" t="s">
        <v>172</v>
      </c>
      <c r="C109" s="1">
        <v>1998</v>
      </c>
      <c r="D109" s="1">
        <v>2008</v>
      </c>
      <c r="E109" s="1">
        <v>345000</v>
      </c>
      <c r="F109" s="1">
        <v>285218</v>
      </c>
      <c r="G109" s="1">
        <v>630218</v>
      </c>
      <c r="H109" s="1">
        <v>539898</v>
      </c>
      <c r="I109" s="1">
        <f t="shared" si="2"/>
        <v>1170116</v>
      </c>
      <c r="J109" s="1" t="s">
        <v>431</v>
      </c>
    </row>
    <row r="110" spans="1:10" x14ac:dyDescent="0.2">
      <c r="A110" s="1" t="s">
        <v>170</v>
      </c>
      <c r="B110" s="1" t="s">
        <v>172</v>
      </c>
      <c r="C110" s="1">
        <v>1998</v>
      </c>
      <c r="D110" s="1">
        <v>2009</v>
      </c>
      <c r="E110" s="1">
        <v>355000</v>
      </c>
      <c r="F110" s="1">
        <v>269865</v>
      </c>
      <c r="G110" s="1">
        <v>624865</v>
      </c>
      <c r="H110" s="1">
        <v>545287</v>
      </c>
      <c r="I110" s="1">
        <f t="shared" si="2"/>
        <v>1170152</v>
      </c>
      <c r="J110" s="1" t="s">
        <v>431</v>
      </c>
    </row>
    <row r="111" spans="1:10" x14ac:dyDescent="0.2">
      <c r="A111" s="1" t="s">
        <v>170</v>
      </c>
      <c r="B111" s="1" t="s">
        <v>172</v>
      </c>
      <c r="C111" s="1">
        <v>1998</v>
      </c>
      <c r="D111" s="1">
        <v>2010</v>
      </c>
      <c r="E111" s="1">
        <v>370000</v>
      </c>
      <c r="F111" s="1">
        <v>253890</v>
      </c>
      <c r="G111" s="1">
        <v>623890</v>
      </c>
      <c r="H111" s="1">
        <v>543583</v>
      </c>
      <c r="I111" s="1">
        <f t="shared" si="2"/>
        <v>1167473</v>
      </c>
      <c r="J111" s="1" t="s">
        <v>431</v>
      </c>
    </row>
    <row r="112" spans="1:10" x14ac:dyDescent="0.2">
      <c r="A112" s="1" t="s">
        <v>170</v>
      </c>
      <c r="B112" s="1" t="s">
        <v>172</v>
      </c>
      <c r="C112" s="1">
        <v>1998</v>
      </c>
      <c r="D112" s="1">
        <v>2011</v>
      </c>
      <c r="E112" s="1">
        <v>930000</v>
      </c>
      <c r="F112" s="1">
        <v>237055</v>
      </c>
      <c r="G112" s="1">
        <v>1167055</v>
      </c>
      <c r="H112" s="1">
        <v>0</v>
      </c>
      <c r="I112" s="1">
        <f t="shared" si="2"/>
        <v>1167055</v>
      </c>
      <c r="J112" s="1" t="s">
        <v>431</v>
      </c>
    </row>
    <row r="113" spans="1:10" x14ac:dyDescent="0.2">
      <c r="A113" s="1" t="s">
        <v>170</v>
      </c>
      <c r="B113" s="1" t="s">
        <v>172</v>
      </c>
      <c r="C113" s="1">
        <v>1998</v>
      </c>
      <c r="D113" s="1">
        <v>2012</v>
      </c>
      <c r="E113" s="1">
        <v>975000</v>
      </c>
      <c r="F113" s="1">
        <v>194740</v>
      </c>
      <c r="G113" s="1">
        <v>1169740</v>
      </c>
      <c r="H113" s="1">
        <v>0</v>
      </c>
      <c r="I113" s="1">
        <f t="shared" si="2"/>
        <v>1169740</v>
      </c>
      <c r="J113" s="1" t="s">
        <v>431</v>
      </c>
    </row>
    <row r="114" spans="1:10" x14ac:dyDescent="0.2">
      <c r="A114" s="1" t="s">
        <v>170</v>
      </c>
      <c r="B114" s="1" t="s">
        <v>172</v>
      </c>
      <c r="C114" s="1">
        <v>1998</v>
      </c>
      <c r="D114" s="1">
        <v>2013</v>
      </c>
      <c r="E114" s="1">
        <v>1020000</v>
      </c>
      <c r="F114" s="1">
        <v>149890</v>
      </c>
      <c r="G114" s="1">
        <v>1169890</v>
      </c>
      <c r="H114" s="1">
        <v>0</v>
      </c>
      <c r="I114" s="1">
        <f t="shared" si="2"/>
        <v>1169890</v>
      </c>
      <c r="J114" s="1" t="s">
        <v>431</v>
      </c>
    </row>
    <row r="115" spans="1:10" x14ac:dyDescent="0.2">
      <c r="A115" s="1" t="s">
        <v>170</v>
      </c>
      <c r="B115" s="1" t="s">
        <v>172</v>
      </c>
      <c r="C115" s="1">
        <v>1998</v>
      </c>
      <c r="D115" s="1">
        <v>2014</v>
      </c>
      <c r="E115" s="1">
        <v>1065000</v>
      </c>
      <c r="F115" s="1">
        <v>102460</v>
      </c>
      <c r="G115" s="1">
        <v>1167460</v>
      </c>
      <c r="H115" s="1">
        <v>0</v>
      </c>
      <c r="I115" s="1">
        <f t="shared" si="2"/>
        <v>1167460</v>
      </c>
      <c r="J115" s="1" t="s">
        <v>431</v>
      </c>
    </row>
    <row r="116" spans="1:10" x14ac:dyDescent="0.2">
      <c r="A116" s="1" t="s">
        <v>170</v>
      </c>
      <c r="B116" s="1" t="s">
        <v>172</v>
      </c>
      <c r="C116" s="1">
        <v>1998</v>
      </c>
      <c r="D116" s="1">
        <v>2015</v>
      </c>
      <c r="E116" s="1">
        <v>1115000</v>
      </c>
      <c r="F116" s="1">
        <v>52405</v>
      </c>
      <c r="G116" s="1">
        <v>1167405</v>
      </c>
      <c r="H116" s="1">
        <v>0</v>
      </c>
      <c r="I116" s="1">
        <f t="shared" si="2"/>
        <v>1167405</v>
      </c>
      <c r="J116" s="1" t="s">
        <v>431</v>
      </c>
    </row>
    <row r="117" spans="1:10" x14ac:dyDescent="0.2">
      <c r="A117" s="1" t="s">
        <v>170</v>
      </c>
      <c r="B117" s="1" t="s">
        <v>172</v>
      </c>
      <c r="C117" s="1">
        <v>2003</v>
      </c>
      <c r="D117" s="1">
        <v>2003</v>
      </c>
      <c r="E117" s="1">
        <v>185000</v>
      </c>
      <c r="F117" s="1">
        <v>67883</v>
      </c>
      <c r="G117" s="1">
        <v>252883</v>
      </c>
      <c r="H117" s="1">
        <f>372000+68928</f>
        <v>440928</v>
      </c>
      <c r="I117" s="1">
        <f>SUM(G117:H117)</f>
        <v>693811</v>
      </c>
      <c r="J117" s="1" t="s">
        <v>431</v>
      </c>
    </row>
    <row r="118" spans="1:10" x14ac:dyDescent="0.2">
      <c r="A118" s="1" t="s">
        <v>170</v>
      </c>
      <c r="B118" s="1" t="s">
        <v>172</v>
      </c>
      <c r="C118" s="1">
        <v>2003</v>
      </c>
      <c r="D118" s="1">
        <v>2004</v>
      </c>
      <c r="E118" s="1">
        <v>355000</v>
      </c>
      <c r="F118" s="1">
        <v>267830</v>
      </c>
      <c r="G118" s="1">
        <v>622830</v>
      </c>
      <c r="H118" s="1">
        <f>389000+123161</f>
        <v>512161</v>
      </c>
      <c r="I118" s="1">
        <f t="shared" ref="I118:I129" si="3">SUM(G118:H118)</f>
        <v>1134991</v>
      </c>
      <c r="J118" s="1" t="s">
        <v>431</v>
      </c>
    </row>
    <row r="119" spans="1:10" x14ac:dyDescent="0.2">
      <c r="A119" s="1" t="s">
        <v>170</v>
      </c>
      <c r="B119" s="1" t="s">
        <v>172</v>
      </c>
      <c r="C119" s="1">
        <v>2003</v>
      </c>
      <c r="D119" s="1">
        <v>2005</v>
      </c>
      <c r="E119" s="1">
        <v>360000</v>
      </c>
      <c r="F119" s="1">
        <v>260700</v>
      </c>
      <c r="G119" s="1">
        <v>620700</v>
      </c>
      <c r="H119" s="1">
        <f>406000+107795</f>
        <v>513795</v>
      </c>
      <c r="I119" s="1">
        <f t="shared" si="3"/>
        <v>1134495</v>
      </c>
      <c r="J119" s="1" t="s">
        <v>431</v>
      </c>
    </row>
    <row r="120" spans="1:10" x14ac:dyDescent="0.2">
      <c r="A120" s="1" t="s">
        <v>170</v>
      </c>
      <c r="B120" s="1" t="s">
        <v>172</v>
      </c>
      <c r="C120" s="1">
        <v>2003</v>
      </c>
      <c r="D120" s="1">
        <v>2006</v>
      </c>
      <c r="E120" s="1">
        <v>375000</v>
      </c>
      <c r="F120" s="1">
        <v>252630</v>
      </c>
      <c r="G120" s="1">
        <v>627630</v>
      </c>
      <c r="H120" s="1">
        <f>425000+91759</f>
        <v>516759</v>
      </c>
      <c r="I120" s="1">
        <f t="shared" si="3"/>
        <v>1144389</v>
      </c>
      <c r="J120" s="1" t="s">
        <v>431</v>
      </c>
    </row>
    <row r="121" spans="1:10" x14ac:dyDescent="0.2">
      <c r="A121" s="1" t="s">
        <v>170</v>
      </c>
      <c r="B121" s="1" t="s">
        <v>172</v>
      </c>
      <c r="C121" s="1">
        <v>2003</v>
      </c>
      <c r="D121" s="1">
        <v>2007</v>
      </c>
      <c r="E121" s="1">
        <v>380000</v>
      </c>
      <c r="F121" s="1">
        <v>243255</v>
      </c>
      <c r="G121" s="1">
        <v>623255</v>
      </c>
      <c r="H121" s="1">
        <f>444000+74971</f>
        <v>518971</v>
      </c>
      <c r="I121" s="1">
        <f t="shared" si="3"/>
        <v>1142226</v>
      </c>
      <c r="J121" s="1" t="s">
        <v>431</v>
      </c>
    </row>
    <row r="122" spans="1:10" x14ac:dyDescent="0.2">
      <c r="A122" s="1" t="s">
        <v>170</v>
      </c>
      <c r="B122" s="1" t="s">
        <v>172</v>
      </c>
      <c r="C122" s="1">
        <v>2003</v>
      </c>
      <c r="D122" s="1">
        <v>2008</v>
      </c>
      <c r="E122" s="1">
        <v>395000</v>
      </c>
      <c r="F122" s="1">
        <v>234705</v>
      </c>
      <c r="G122" s="1">
        <v>629705</v>
      </c>
      <c r="H122" s="1">
        <f>464000+57433</f>
        <v>521433</v>
      </c>
      <c r="I122" s="1">
        <f t="shared" si="3"/>
        <v>1151138</v>
      </c>
      <c r="J122" s="1" t="s">
        <v>431</v>
      </c>
    </row>
    <row r="123" spans="1:10" x14ac:dyDescent="0.2">
      <c r="A123" s="1" t="s">
        <v>170</v>
      </c>
      <c r="B123" s="1" t="s">
        <v>172</v>
      </c>
      <c r="C123" s="1">
        <v>2003</v>
      </c>
      <c r="D123" s="1">
        <v>2009</v>
      </c>
      <c r="E123" s="1">
        <v>400000</v>
      </c>
      <c r="F123" s="1">
        <v>224435</v>
      </c>
      <c r="G123" s="1">
        <v>624435</v>
      </c>
      <c r="H123" s="1">
        <f>484000+39105</f>
        <v>523105</v>
      </c>
      <c r="I123" s="1">
        <f t="shared" si="3"/>
        <v>1147540</v>
      </c>
      <c r="J123" s="1" t="s">
        <v>431</v>
      </c>
    </row>
    <row r="124" spans="1:10" x14ac:dyDescent="0.2">
      <c r="A124" s="1" t="s">
        <v>170</v>
      </c>
      <c r="B124" s="1" t="s">
        <v>172</v>
      </c>
      <c r="C124" s="1">
        <v>2003</v>
      </c>
      <c r="D124" s="1">
        <v>2010</v>
      </c>
      <c r="E124" s="1">
        <v>410000</v>
      </c>
      <c r="F124" s="1">
        <v>212435</v>
      </c>
      <c r="G124" s="1">
        <v>622435</v>
      </c>
      <c r="H124" s="1">
        <f>506000+19987</f>
        <v>525987</v>
      </c>
      <c r="I124" s="1">
        <f t="shared" si="3"/>
        <v>1148422</v>
      </c>
      <c r="J124" s="1" t="s">
        <v>431</v>
      </c>
    </row>
    <row r="125" spans="1:10" x14ac:dyDescent="0.2">
      <c r="A125" s="1" t="s">
        <v>170</v>
      </c>
      <c r="B125" s="1" t="s">
        <v>172</v>
      </c>
      <c r="C125" s="1">
        <v>2003</v>
      </c>
      <c r="D125" s="1">
        <v>2011</v>
      </c>
      <c r="E125" s="1">
        <v>965000</v>
      </c>
      <c r="F125" s="1">
        <v>198905</v>
      </c>
      <c r="G125" s="1">
        <v>1163905</v>
      </c>
      <c r="H125" s="1">
        <v>0</v>
      </c>
      <c r="I125" s="1">
        <f t="shared" si="3"/>
        <v>1163905</v>
      </c>
      <c r="J125" s="1" t="s">
        <v>431</v>
      </c>
    </row>
    <row r="126" spans="1:10" x14ac:dyDescent="0.2">
      <c r="A126" s="1" t="s">
        <v>170</v>
      </c>
      <c r="B126" s="1" t="s">
        <v>172</v>
      </c>
      <c r="C126" s="1">
        <v>2003</v>
      </c>
      <c r="D126" s="1">
        <v>2012</v>
      </c>
      <c r="E126" s="1">
        <v>1005000</v>
      </c>
      <c r="F126" s="1">
        <v>164165</v>
      </c>
      <c r="G126" s="1">
        <v>1169165</v>
      </c>
      <c r="H126" s="1">
        <v>0</v>
      </c>
      <c r="I126" s="1">
        <f t="shared" si="3"/>
        <v>1169165</v>
      </c>
      <c r="J126" s="1" t="s">
        <v>431</v>
      </c>
    </row>
    <row r="127" spans="1:10" x14ac:dyDescent="0.2">
      <c r="A127" s="1" t="s">
        <v>170</v>
      </c>
      <c r="B127" s="1" t="s">
        <v>172</v>
      </c>
      <c r="C127" s="1">
        <v>2003</v>
      </c>
      <c r="D127" s="1">
        <v>2013</v>
      </c>
      <c r="E127" s="1">
        <v>1040000</v>
      </c>
      <c r="F127" s="1">
        <v>126980</v>
      </c>
      <c r="G127" s="1">
        <v>1166980</v>
      </c>
      <c r="H127" s="1">
        <v>0</v>
      </c>
      <c r="I127" s="1">
        <f t="shared" si="3"/>
        <v>1166980</v>
      </c>
      <c r="J127" s="1" t="s">
        <v>431</v>
      </c>
    </row>
    <row r="128" spans="1:10" x14ac:dyDescent="0.2">
      <c r="A128" s="1" t="s">
        <v>170</v>
      </c>
      <c r="B128" s="1" t="s">
        <v>172</v>
      </c>
      <c r="C128" s="1">
        <v>2003</v>
      </c>
      <c r="D128" s="1">
        <v>2014</v>
      </c>
      <c r="E128" s="1">
        <v>1080000</v>
      </c>
      <c r="F128" s="1">
        <v>87460</v>
      </c>
      <c r="G128" s="1">
        <v>1167460</v>
      </c>
      <c r="H128" s="1">
        <v>0</v>
      </c>
      <c r="I128" s="1">
        <f t="shared" si="3"/>
        <v>1167460</v>
      </c>
      <c r="J128" s="1" t="s">
        <v>431</v>
      </c>
    </row>
    <row r="129" spans="1:10" x14ac:dyDescent="0.2">
      <c r="A129" s="1" t="s">
        <v>170</v>
      </c>
      <c r="B129" s="1" t="s">
        <v>172</v>
      </c>
      <c r="C129" s="1">
        <v>2003</v>
      </c>
      <c r="D129" s="1">
        <v>2015</v>
      </c>
      <c r="E129" s="1">
        <v>1120000</v>
      </c>
      <c r="F129" s="1">
        <v>44800</v>
      </c>
      <c r="G129" s="1">
        <v>1164800</v>
      </c>
      <c r="H129" s="1">
        <v>0</v>
      </c>
      <c r="I129" s="1">
        <f t="shared" si="3"/>
        <v>1164800</v>
      </c>
      <c r="J129" s="1" t="s">
        <v>431</v>
      </c>
    </row>
    <row r="130" spans="1:10" x14ac:dyDescent="0.2">
      <c r="A130" s="1" t="s">
        <v>170</v>
      </c>
      <c r="B130" s="1" t="s">
        <v>172</v>
      </c>
      <c r="C130" s="1">
        <v>2004</v>
      </c>
      <c r="D130" s="1">
        <v>2004</v>
      </c>
      <c r="E130" s="1">
        <v>0</v>
      </c>
      <c r="F130" s="1">
        <v>112406</v>
      </c>
      <c r="G130" s="1">
        <f>SUM(E130:F130)</f>
        <v>112406</v>
      </c>
      <c r="H130" s="1">
        <f>I130-G130</f>
        <v>1159991</v>
      </c>
      <c r="I130" s="1">
        <v>1272397</v>
      </c>
      <c r="J130" s="1" t="s">
        <v>431</v>
      </c>
    </row>
    <row r="131" spans="1:10" x14ac:dyDescent="0.2">
      <c r="A131" s="1" t="s">
        <v>170</v>
      </c>
      <c r="B131" s="1" t="s">
        <v>172</v>
      </c>
      <c r="C131" s="1">
        <v>2004</v>
      </c>
      <c r="D131" s="1">
        <v>2005</v>
      </c>
      <c r="E131" s="1">
        <v>25000</v>
      </c>
      <c r="F131" s="1">
        <v>246745</v>
      </c>
      <c r="G131" s="1">
        <f t="shared" ref="G131:G146" si="4">SUM(E131:F131)</f>
        <v>271745</v>
      </c>
      <c r="H131" s="1">
        <f t="shared" ref="H131:H146" si="5">I131-G131</f>
        <v>1124526</v>
      </c>
      <c r="I131" s="1">
        <v>1396271</v>
      </c>
      <c r="J131" s="1" t="s">
        <v>431</v>
      </c>
    </row>
    <row r="132" spans="1:10" x14ac:dyDescent="0.2">
      <c r="A132" s="1" t="s">
        <v>170</v>
      </c>
      <c r="B132" s="1" t="s">
        <v>172</v>
      </c>
      <c r="C132" s="1">
        <v>2004</v>
      </c>
      <c r="D132" s="1">
        <v>2006</v>
      </c>
      <c r="E132" s="1">
        <v>15000</v>
      </c>
      <c r="F132" s="1">
        <v>245895</v>
      </c>
      <c r="G132" s="1">
        <f t="shared" si="4"/>
        <v>260895</v>
      </c>
      <c r="H132" s="1">
        <f t="shared" si="5"/>
        <v>1149388</v>
      </c>
      <c r="I132" s="1">
        <v>1410283</v>
      </c>
      <c r="J132" s="1" t="s">
        <v>431</v>
      </c>
    </row>
    <row r="133" spans="1:10" x14ac:dyDescent="0.2">
      <c r="A133" s="1" t="s">
        <v>170</v>
      </c>
      <c r="B133" s="1" t="s">
        <v>172</v>
      </c>
      <c r="C133" s="1">
        <v>2004</v>
      </c>
      <c r="D133" s="1">
        <v>2007</v>
      </c>
      <c r="E133" s="1">
        <v>20000</v>
      </c>
      <c r="F133" s="1">
        <v>245385</v>
      </c>
      <c r="G133" s="1">
        <f t="shared" si="4"/>
        <v>265385</v>
      </c>
      <c r="H133" s="1">
        <f t="shared" si="5"/>
        <v>1132226</v>
      </c>
      <c r="I133" s="1">
        <v>1397611</v>
      </c>
      <c r="J133" s="1" t="s">
        <v>431</v>
      </c>
    </row>
    <row r="134" spans="1:10" x14ac:dyDescent="0.2">
      <c r="A134" s="1" t="s">
        <v>170</v>
      </c>
      <c r="B134" s="1" t="s">
        <v>172</v>
      </c>
      <c r="C134" s="1">
        <v>2004</v>
      </c>
      <c r="D134" s="1">
        <v>2008</v>
      </c>
      <c r="E134" s="1">
        <v>10000</v>
      </c>
      <c r="F134" s="1">
        <v>244705</v>
      </c>
      <c r="G134" s="1">
        <f t="shared" si="4"/>
        <v>254705</v>
      </c>
      <c r="H134" s="1">
        <f t="shared" si="5"/>
        <v>1156138</v>
      </c>
      <c r="I134" s="1">
        <v>1410843</v>
      </c>
      <c r="J134" s="1" t="s">
        <v>431</v>
      </c>
    </row>
    <row r="135" spans="1:10" x14ac:dyDescent="0.2">
      <c r="A135" s="1" t="s">
        <v>170</v>
      </c>
      <c r="B135" s="1" t="s">
        <v>172</v>
      </c>
      <c r="C135" s="1">
        <v>2004</v>
      </c>
      <c r="D135" s="1">
        <v>2009</v>
      </c>
      <c r="E135" s="1">
        <v>15000</v>
      </c>
      <c r="F135" s="1">
        <v>244365</v>
      </c>
      <c r="G135" s="1">
        <f t="shared" si="4"/>
        <v>259365</v>
      </c>
      <c r="H135" s="1">
        <f t="shared" si="5"/>
        <v>1147540</v>
      </c>
      <c r="I135" s="1">
        <v>1406905</v>
      </c>
      <c r="J135" s="1" t="s">
        <v>431</v>
      </c>
    </row>
    <row r="136" spans="1:10" x14ac:dyDescent="0.2">
      <c r="A136" s="1" t="s">
        <v>170</v>
      </c>
      <c r="B136" s="1" t="s">
        <v>172</v>
      </c>
      <c r="C136" s="1">
        <v>2004</v>
      </c>
      <c r="D136" s="1">
        <v>2010</v>
      </c>
      <c r="E136" s="1">
        <v>15000</v>
      </c>
      <c r="F136" s="1">
        <v>243855</v>
      </c>
      <c r="G136" s="1">
        <f t="shared" si="4"/>
        <v>258855</v>
      </c>
      <c r="H136" s="1">
        <f t="shared" si="5"/>
        <v>1133422</v>
      </c>
      <c r="I136" s="1">
        <v>1392277</v>
      </c>
      <c r="J136" s="1" t="s">
        <v>431</v>
      </c>
    </row>
    <row r="137" spans="1:10" x14ac:dyDescent="0.2">
      <c r="A137" s="1" t="s">
        <v>170</v>
      </c>
      <c r="B137" s="1" t="s">
        <v>172</v>
      </c>
      <c r="C137" s="1">
        <v>2004</v>
      </c>
      <c r="D137" s="1">
        <v>2011</v>
      </c>
      <c r="E137" s="1">
        <v>0</v>
      </c>
      <c r="F137" s="1">
        <v>243345</v>
      </c>
      <c r="G137" s="1">
        <f t="shared" si="4"/>
        <v>243345</v>
      </c>
      <c r="H137" s="1">
        <f t="shared" si="5"/>
        <v>1163905</v>
      </c>
      <c r="I137" s="1">
        <v>1407250</v>
      </c>
      <c r="J137" s="1" t="s">
        <v>431</v>
      </c>
    </row>
    <row r="138" spans="1:10" x14ac:dyDescent="0.2">
      <c r="A138" s="1" t="s">
        <v>170</v>
      </c>
      <c r="B138" s="1" t="s">
        <v>172</v>
      </c>
      <c r="C138" s="1">
        <v>2004</v>
      </c>
      <c r="D138" s="1">
        <v>2012</v>
      </c>
      <c r="E138" s="1">
        <v>0</v>
      </c>
      <c r="F138" s="1">
        <v>243345</v>
      </c>
      <c r="G138" s="1">
        <f t="shared" si="4"/>
        <v>243345</v>
      </c>
      <c r="H138" s="1">
        <f t="shared" si="5"/>
        <v>1169165</v>
      </c>
      <c r="I138" s="1">
        <v>1412510</v>
      </c>
      <c r="J138" s="1" t="s">
        <v>431</v>
      </c>
    </row>
    <row r="139" spans="1:10" x14ac:dyDescent="0.2">
      <c r="A139" s="1" t="s">
        <v>170</v>
      </c>
      <c r="B139" s="1" t="s">
        <v>172</v>
      </c>
      <c r="C139" s="1">
        <v>2004</v>
      </c>
      <c r="D139" s="1">
        <v>2013</v>
      </c>
      <c r="E139" s="1">
        <v>0</v>
      </c>
      <c r="F139" s="1">
        <v>243345</v>
      </c>
      <c r="G139" s="1">
        <f t="shared" si="4"/>
        <v>243345</v>
      </c>
      <c r="H139" s="1">
        <f t="shared" si="5"/>
        <v>1166980</v>
      </c>
      <c r="I139" s="1">
        <v>1410325</v>
      </c>
      <c r="J139" s="1" t="s">
        <v>431</v>
      </c>
    </row>
    <row r="140" spans="1:10" x14ac:dyDescent="0.2">
      <c r="A140" s="1" t="s">
        <v>170</v>
      </c>
      <c r="B140" s="1" t="s">
        <v>172</v>
      </c>
      <c r="C140" s="1">
        <v>2004</v>
      </c>
      <c r="D140" s="1">
        <v>2014</v>
      </c>
      <c r="E140" s="1">
        <v>0</v>
      </c>
      <c r="F140" s="1">
        <v>243345</v>
      </c>
      <c r="G140" s="1">
        <f t="shared" si="4"/>
        <v>243345</v>
      </c>
      <c r="H140" s="1">
        <f t="shared" si="5"/>
        <v>1167460</v>
      </c>
      <c r="I140" s="1">
        <v>1410805</v>
      </c>
      <c r="J140" s="1" t="s">
        <v>431</v>
      </c>
    </row>
    <row r="141" spans="1:10" x14ac:dyDescent="0.2">
      <c r="A141" s="1" t="s">
        <v>170</v>
      </c>
      <c r="B141" s="1" t="s">
        <v>172</v>
      </c>
      <c r="C141" s="1">
        <v>2004</v>
      </c>
      <c r="D141" s="1">
        <v>2015</v>
      </c>
      <c r="E141" s="1">
        <v>0</v>
      </c>
      <c r="F141" s="1">
        <v>243345</v>
      </c>
      <c r="G141" s="1">
        <f t="shared" si="4"/>
        <v>243345</v>
      </c>
      <c r="H141" s="1">
        <f t="shared" si="5"/>
        <v>1164800</v>
      </c>
      <c r="I141" s="1">
        <v>1408145</v>
      </c>
      <c r="J141" s="1" t="s">
        <v>431</v>
      </c>
    </row>
    <row r="142" spans="1:10" x14ac:dyDescent="0.2">
      <c r="A142" s="1" t="s">
        <v>170</v>
      </c>
      <c r="B142" s="1" t="s">
        <v>172</v>
      </c>
      <c r="C142" s="1">
        <v>2004</v>
      </c>
      <c r="D142" s="1">
        <v>2016</v>
      </c>
      <c r="E142" s="1">
        <v>1165000</v>
      </c>
      <c r="F142" s="1">
        <v>243345</v>
      </c>
      <c r="G142" s="1">
        <f t="shared" si="4"/>
        <v>1408345</v>
      </c>
      <c r="H142" s="1">
        <f t="shared" si="5"/>
        <v>0</v>
      </c>
      <c r="I142" s="1">
        <v>1408345</v>
      </c>
      <c r="J142" s="1" t="s">
        <v>431</v>
      </c>
    </row>
    <row r="143" spans="1:10" x14ac:dyDescent="0.2">
      <c r="A143" s="1" t="s">
        <v>170</v>
      </c>
      <c r="B143" s="1" t="s">
        <v>172</v>
      </c>
      <c r="C143" s="1">
        <v>2004</v>
      </c>
      <c r="D143" s="1">
        <v>2017</v>
      </c>
      <c r="E143" s="1">
        <v>1215000</v>
      </c>
      <c r="F143" s="1">
        <v>194415</v>
      </c>
      <c r="G143" s="1">
        <f t="shared" si="4"/>
        <v>1409415</v>
      </c>
      <c r="H143" s="1">
        <f t="shared" si="5"/>
        <v>0</v>
      </c>
      <c r="I143" s="1">
        <v>1409415</v>
      </c>
      <c r="J143" s="1" t="s">
        <v>431</v>
      </c>
    </row>
    <row r="144" spans="1:10" x14ac:dyDescent="0.2">
      <c r="A144" s="1" t="s">
        <v>170</v>
      </c>
      <c r="B144" s="1" t="s">
        <v>172</v>
      </c>
      <c r="C144" s="1">
        <v>2004</v>
      </c>
      <c r="D144" s="1">
        <v>2018</v>
      </c>
      <c r="E144" s="1">
        <v>1265000</v>
      </c>
      <c r="F144" s="1">
        <v>142170</v>
      </c>
      <c r="G144" s="1">
        <f t="shared" si="4"/>
        <v>1407170</v>
      </c>
      <c r="H144" s="1">
        <f t="shared" si="5"/>
        <v>0</v>
      </c>
      <c r="I144" s="1">
        <v>1407170</v>
      </c>
      <c r="J144" s="1" t="s">
        <v>431</v>
      </c>
    </row>
    <row r="145" spans="1:10" x14ac:dyDescent="0.2">
      <c r="A145" s="1" t="s">
        <v>170</v>
      </c>
      <c r="B145" s="1" t="s">
        <v>172</v>
      </c>
      <c r="C145" s="1">
        <v>2004</v>
      </c>
      <c r="D145" s="1">
        <v>2019</v>
      </c>
      <c r="E145" s="1">
        <v>1320000</v>
      </c>
      <c r="F145" s="1">
        <v>86510</v>
      </c>
      <c r="G145" s="1">
        <f t="shared" si="4"/>
        <v>1406510</v>
      </c>
      <c r="H145" s="1">
        <f t="shared" si="5"/>
        <v>0</v>
      </c>
      <c r="I145" s="1">
        <v>1406510</v>
      </c>
      <c r="J145" s="1" t="s">
        <v>431</v>
      </c>
    </row>
    <row r="146" spans="1:10" x14ac:dyDescent="0.2">
      <c r="A146" s="1" t="s">
        <v>170</v>
      </c>
      <c r="B146" s="1" t="s">
        <v>172</v>
      </c>
      <c r="C146" s="1">
        <v>2004</v>
      </c>
      <c r="D146" s="1">
        <v>2020</v>
      </c>
      <c r="E146" s="1">
        <v>575000</v>
      </c>
      <c r="F146" s="1">
        <v>26450</v>
      </c>
      <c r="G146" s="1">
        <f t="shared" si="4"/>
        <v>601450</v>
      </c>
      <c r="H146" s="1">
        <f t="shared" si="5"/>
        <v>0</v>
      </c>
      <c r="I146" s="1">
        <v>601450</v>
      </c>
      <c r="J146" s="1" t="s">
        <v>431</v>
      </c>
    </row>
    <row r="147" spans="1:10" x14ac:dyDescent="0.2">
      <c r="A147" s="1" t="s">
        <v>170</v>
      </c>
      <c r="B147" s="1" t="s">
        <v>172</v>
      </c>
      <c r="C147" s="1">
        <v>2005</v>
      </c>
      <c r="D147" s="1">
        <v>2005</v>
      </c>
      <c r="E147" s="1">
        <v>0</v>
      </c>
      <c r="F147" s="1">
        <f>G147-E147</f>
        <v>158253</v>
      </c>
      <c r="G147" s="1">
        <v>158253</v>
      </c>
      <c r="H147" s="1">
        <f>I147-G147</f>
        <v>2661017</v>
      </c>
      <c r="I147" s="1">
        <v>2819270</v>
      </c>
      <c r="J147" s="1" t="s">
        <v>418</v>
      </c>
    </row>
    <row r="148" spans="1:10" x14ac:dyDescent="0.2">
      <c r="A148" s="1" t="s">
        <v>170</v>
      </c>
      <c r="B148" s="1" t="s">
        <v>172</v>
      </c>
      <c r="C148" s="1">
        <v>2005</v>
      </c>
      <c r="D148" s="1">
        <v>2006</v>
      </c>
      <c r="E148" s="1">
        <v>205000</v>
      </c>
      <c r="F148" s="1">
        <f t="shared" ref="F148:F174" si="6">G148-E148</f>
        <v>211003</v>
      </c>
      <c r="G148" s="1">
        <v>416003</v>
      </c>
      <c r="H148" s="1">
        <f t="shared" ref="H148:H186" si="7">I148-G148</f>
        <v>2656081</v>
      </c>
      <c r="I148" s="1">
        <v>3072084</v>
      </c>
      <c r="J148" s="1" t="s">
        <v>418</v>
      </c>
    </row>
    <row r="149" spans="1:10" x14ac:dyDescent="0.2">
      <c r="A149" s="1" t="s">
        <v>170</v>
      </c>
      <c r="B149" s="1" t="s">
        <v>172</v>
      </c>
      <c r="C149" s="1">
        <v>2005</v>
      </c>
      <c r="D149" s="1">
        <v>2007</v>
      </c>
      <c r="E149" s="1">
        <v>210000</v>
      </c>
      <c r="F149" s="1">
        <f t="shared" si="6"/>
        <v>204854</v>
      </c>
      <c r="G149" s="1">
        <v>414854</v>
      </c>
      <c r="H149" s="1">
        <f t="shared" si="7"/>
        <v>2659647</v>
      </c>
      <c r="I149" s="1">
        <v>3074501</v>
      </c>
      <c r="J149" s="1" t="s">
        <v>418</v>
      </c>
    </row>
    <row r="150" spans="1:10" x14ac:dyDescent="0.2">
      <c r="A150" s="1" t="s">
        <v>170</v>
      </c>
      <c r="B150" s="1" t="s">
        <v>172</v>
      </c>
      <c r="C150" s="1">
        <v>2005</v>
      </c>
      <c r="D150" s="1">
        <v>2008</v>
      </c>
      <c r="E150" s="1">
        <v>220000</v>
      </c>
      <c r="F150" s="1">
        <f t="shared" si="6"/>
        <v>198553</v>
      </c>
      <c r="G150" s="1">
        <v>418553</v>
      </c>
      <c r="H150" s="1">
        <f t="shared" si="7"/>
        <v>2665648</v>
      </c>
      <c r="I150" s="1">
        <v>3084201</v>
      </c>
      <c r="J150" s="1" t="s">
        <v>418</v>
      </c>
    </row>
    <row r="151" spans="1:10" x14ac:dyDescent="0.2">
      <c r="A151" s="1" t="s">
        <v>170</v>
      </c>
      <c r="B151" s="1" t="s">
        <v>172</v>
      </c>
      <c r="C151" s="1">
        <v>2005</v>
      </c>
      <c r="D151" s="1">
        <v>2009</v>
      </c>
      <c r="E151" s="1">
        <v>225000</v>
      </c>
      <c r="F151" s="1">
        <f t="shared" si="6"/>
        <v>193329</v>
      </c>
      <c r="G151" s="1">
        <v>418329</v>
      </c>
      <c r="H151" s="1">
        <f t="shared" si="7"/>
        <v>2660147</v>
      </c>
      <c r="I151" s="1">
        <v>3078476</v>
      </c>
      <c r="J151" s="1" t="s">
        <v>418</v>
      </c>
    </row>
    <row r="152" spans="1:10" x14ac:dyDescent="0.2">
      <c r="A152" s="1" t="s">
        <v>170</v>
      </c>
      <c r="B152" s="1" t="s">
        <v>172</v>
      </c>
      <c r="C152" s="1">
        <v>2005</v>
      </c>
      <c r="D152" s="1">
        <v>2010</v>
      </c>
      <c r="E152" s="1">
        <v>230000</v>
      </c>
      <c r="F152" s="1">
        <f t="shared" si="6"/>
        <v>187704</v>
      </c>
      <c r="G152" s="1">
        <v>417704</v>
      </c>
      <c r="H152" s="1">
        <f t="shared" si="7"/>
        <v>2657187</v>
      </c>
      <c r="I152" s="1">
        <v>3074891</v>
      </c>
      <c r="J152" s="1" t="s">
        <v>418</v>
      </c>
    </row>
    <row r="153" spans="1:10" x14ac:dyDescent="0.2">
      <c r="A153" s="1" t="s">
        <v>170</v>
      </c>
      <c r="B153" s="1" t="s">
        <v>172</v>
      </c>
      <c r="C153" s="1">
        <v>2005</v>
      </c>
      <c r="D153" s="1">
        <v>2011</v>
      </c>
      <c r="E153" s="1">
        <v>240000</v>
      </c>
      <c r="F153" s="1">
        <f t="shared" si="6"/>
        <v>179654</v>
      </c>
      <c r="G153" s="1">
        <v>419654</v>
      </c>
      <c r="H153" s="1">
        <f t="shared" si="7"/>
        <v>2655672</v>
      </c>
      <c r="I153" s="1">
        <v>3075326</v>
      </c>
      <c r="J153" s="1" t="s">
        <v>418</v>
      </c>
    </row>
    <row r="154" spans="1:10" x14ac:dyDescent="0.2">
      <c r="A154" s="1" t="s">
        <v>170</v>
      </c>
      <c r="B154" s="1" t="s">
        <v>172</v>
      </c>
      <c r="C154" s="1">
        <v>2005</v>
      </c>
      <c r="D154" s="1">
        <v>2012</v>
      </c>
      <c r="E154" s="1">
        <v>245000</v>
      </c>
      <c r="F154" s="1">
        <f t="shared" si="6"/>
        <v>172454</v>
      </c>
      <c r="G154" s="1">
        <v>417454</v>
      </c>
      <c r="H154" s="1">
        <f t="shared" si="7"/>
        <v>2667250</v>
      </c>
      <c r="I154" s="1">
        <v>3084704</v>
      </c>
      <c r="J154" s="1" t="s">
        <v>418</v>
      </c>
    </row>
    <row r="155" spans="1:10" x14ac:dyDescent="0.2">
      <c r="A155" s="1" t="s">
        <v>170</v>
      </c>
      <c r="B155" s="1" t="s">
        <v>172</v>
      </c>
      <c r="C155" s="1">
        <v>2005</v>
      </c>
      <c r="D155" s="1">
        <v>2013</v>
      </c>
      <c r="E155" s="1">
        <v>255000</v>
      </c>
      <c r="F155" s="1">
        <f t="shared" si="6"/>
        <v>164491</v>
      </c>
      <c r="G155" s="1">
        <v>419491</v>
      </c>
      <c r="H155" s="1">
        <f t="shared" si="7"/>
        <v>2661375</v>
      </c>
      <c r="I155" s="1">
        <v>3080866</v>
      </c>
      <c r="J155" s="1" t="s">
        <v>418</v>
      </c>
    </row>
    <row r="156" spans="1:10" x14ac:dyDescent="0.2">
      <c r="A156" s="1" t="s">
        <v>170</v>
      </c>
      <c r="B156" s="1" t="s">
        <v>172</v>
      </c>
      <c r="C156" s="1">
        <v>2005</v>
      </c>
      <c r="D156" s="1">
        <v>2014</v>
      </c>
      <c r="E156" s="1">
        <v>260000</v>
      </c>
      <c r="F156" s="1">
        <f t="shared" si="6"/>
        <v>156204</v>
      </c>
      <c r="G156" s="1">
        <v>416204</v>
      </c>
      <c r="H156" s="1">
        <f t="shared" si="7"/>
        <v>2658200</v>
      </c>
      <c r="I156" s="1">
        <v>3074404</v>
      </c>
      <c r="J156" s="1" t="s">
        <v>418</v>
      </c>
    </row>
    <row r="157" spans="1:10" x14ac:dyDescent="0.2">
      <c r="A157" s="1" t="s">
        <v>170</v>
      </c>
      <c r="B157" s="1" t="s">
        <v>172</v>
      </c>
      <c r="C157" s="1">
        <v>2005</v>
      </c>
      <c r="D157" s="1">
        <v>2015</v>
      </c>
      <c r="E157" s="1">
        <v>270000</v>
      </c>
      <c r="F157" s="1">
        <f t="shared" si="6"/>
        <v>147104</v>
      </c>
      <c r="G157" s="1">
        <v>417104</v>
      </c>
      <c r="H157" s="1">
        <f t="shared" si="7"/>
        <v>2658100</v>
      </c>
      <c r="I157" s="1">
        <v>3075204</v>
      </c>
      <c r="J157" s="1" t="s">
        <v>418</v>
      </c>
    </row>
    <row r="158" spans="1:10" x14ac:dyDescent="0.2">
      <c r="A158" s="1" t="s">
        <v>170</v>
      </c>
      <c r="B158" s="1" t="s">
        <v>172</v>
      </c>
      <c r="C158" s="1">
        <v>2005</v>
      </c>
      <c r="D158" s="1">
        <v>2016</v>
      </c>
      <c r="E158" s="1">
        <v>280000</v>
      </c>
      <c r="F158" s="1">
        <f t="shared" si="6"/>
        <v>137316</v>
      </c>
      <c r="G158" s="1">
        <v>417316</v>
      </c>
      <c r="H158" s="1">
        <f t="shared" si="7"/>
        <v>2482500</v>
      </c>
      <c r="I158" s="1">
        <v>2899816</v>
      </c>
      <c r="J158" s="1" t="s">
        <v>418</v>
      </c>
    </row>
    <row r="159" spans="1:10" x14ac:dyDescent="0.2">
      <c r="A159" s="1" t="s">
        <v>170</v>
      </c>
      <c r="B159" s="1" t="s">
        <v>172</v>
      </c>
      <c r="C159" s="1">
        <v>2005</v>
      </c>
      <c r="D159" s="1">
        <v>2017</v>
      </c>
      <c r="E159" s="1">
        <v>290000</v>
      </c>
      <c r="F159" s="1">
        <f t="shared" si="6"/>
        <v>126956</v>
      </c>
      <c r="G159" s="1">
        <v>416956</v>
      </c>
      <c r="H159" s="1">
        <f t="shared" si="7"/>
        <v>2260750</v>
      </c>
      <c r="I159" s="1">
        <v>2677706</v>
      </c>
      <c r="J159" s="1" t="s">
        <v>418</v>
      </c>
    </row>
    <row r="160" spans="1:10" x14ac:dyDescent="0.2">
      <c r="A160" s="1" t="s">
        <v>170</v>
      </c>
      <c r="B160" s="1" t="s">
        <v>172</v>
      </c>
      <c r="C160" s="1">
        <v>2005</v>
      </c>
      <c r="D160" s="1">
        <v>2018</v>
      </c>
      <c r="E160" s="1">
        <v>300000</v>
      </c>
      <c r="F160" s="1">
        <f t="shared" si="6"/>
        <v>115356</v>
      </c>
      <c r="G160" s="1">
        <v>415356</v>
      </c>
      <c r="H160" s="1">
        <f t="shared" si="7"/>
        <v>2265600</v>
      </c>
      <c r="I160" s="1">
        <v>2680956</v>
      </c>
      <c r="J160" s="1" t="s">
        <v>418</v>
      </c>
    </row>
    <row r="161" spans="1:10" x14ac:dyDescent="0.2">
      <c r="A161" s="1" t="s">
        <v>170</v>
      </c>
      <c r="B161" s="1" t="s">
        <v>172</v>
      </c>
      <c r="C161" s="1">
        <v>2005</v>
      </c>
      <c r="D161" s="1">
        <v>2019</v>
      </c>
      <c r="E161" s="1">
        <v>315000</v>
      </c>
      <c r="F161" s="1">
        <f t="shared" si="6"/>
        <v>103356</v>
      </c>
      <c r="G161" s="1">
        <v>418356</v>
      </c>
      <c r="H161" s="1">
        <f t="shared" si="7"/>
        <v>2259950</v>
      </c>
      <c r="I161" s="1">
        <v>2678306</v>
      </c>
      <c r="J161" s="1" t="s">
        <v>418</v>
      </c>
    </row>
    <row r="162" spans="1:10" x14ac:dyDescent="0.2">
      <c r="A162" s="1" t="s">
        <v>170</v>
      </c>
      <c r="B162" s="1" t="s">
        <v>172</v>
      </c>
      <c r="C162" s="1">
        <v>2005</v>
      </c>
      <c r="D162" s="1">
        <v>2020</v>
      </c>
      <c r="E162" s="1">
        <v>325000</v>
      </c>
      <c r="F162" s="1">
        <f t="shared" si="6"/>
        <v>90756</v>
      </c>
      <c r="G162" s="1">
        <v>415756</v>
      </c>
      <c r="H162" s="1">
        <f t="shared" si="7"/>
        <v>2254075</v>
      </c>
      <c r="I162" s="1">
        <v>2669831</v>
      </c>
      <c r="J162" s="1" t="s">
        <v>418</v>
      </c>
    </row>
    <row r="163" spans="1:10" x14ac:dyDescent="0.2">
      <c r="A163" s="1" t="s">
        <v>170</v>
      </c>
      <c r="B163" s="1" t="s">
        <v>172</v>
      </c>
      <c r="C163" s="1">
        <v>2005</v>
      </c>
      <c r="D163" s="1">
        <v>2021</v>
      </c>
      <c r="E163" s="1">
        <v>340000</v>
      </c>
      <c r="F163" s="1">
        <f t="shared" si="6"/>
        <v>77756</v>
      </c>
      <c r="G163" s="1">
        <v>417756</v>
      </c>
      <c r="H163" s="1">
        <f t="shared" si="7"/>
        <v>2257700</v>
      </c>
      <c r="I163" s="1">
        <v>2675456</v>
      </c>
      <c r="J163" s="1" t="s">
        <v>418</v>
      </c>
    </row>
    <row r="164" spans="1:10" x14ac:dyDescent="0.2">
      <c r="A164" s="1" t="s">
        <v>170</v>
      </c>
      <c r="B164" s="1" t="s">
        <v>172</v>
      </c>
      <c r="C164" s="1">
        <v>2005</v>
      </c>
      <c r="D164" s="1">
        <v>2022</v>
      </c>
      <c r="E164" s="1">
        <v>355000</v>
      </c>
      <c r="F164" s="1">
        <f t="shared" si="6"/>
        <v>63731</v>
      </c>
      <c r="G164" s="1">
        <v>418731</v>
      </c>
      <c r="H164" s="1">
        <f t="shared" si="7"/>
        <v>0</v>
      </c>
      <c r="I164" s="1">
        <v>418731</v>
      </c>
      <c r="J164" s="1" t="s">
        <v>418</v>
      </c>
    </row>
    <row r="165" spans="1:10" x14ac:dyDescent="0.2">
      <c r="A165" s="1" t="s">
        <v>170</v>
      </c>
      <c r="B165" s="1" t="s">
        <v>172</v>
      </c>
      <c r="C165" s="1">
        <v>2005</v>
      </c>
      <c r="D165" s="1">
        <v>2023</v>
      </c>
      <c r="E165" s="1">
        <v>370000</v>
      </c>
      <c r="F165" s="1">
        <f t="shared" si="6"/>
        <v>49087</v>
      </c>
      <c r="G165" s="1">
        <v>419087</v>
      </c>
      <c r="H165" s="1">
        <f t="shared" si="7"/>
        <v>0</v>
      </c>
      <c r="I165" s="1">
        <v>419087</v>
      </c>
      <c r="J165" s="1" t="s">
        <v>418</v>
      </c>
    </row>
    <row r="166" spans="1:10" x14ac:dyDescent="0.2">
      <c r="A166" s="1" t="s">
        <v>170</v>
      </c>
      <c r="B166" s="1" t="s">
        <v>172</v>
      </c>
      <c r="C166" s="1">
        <v>2005</v>
      </c>
      <c r="D166" s="1">
        <v>2024</v>
      </c>
      <c r="E166" s="1">
        <v>385000</v>
      </c>
      <c r="F166" s="1">
        <f t="shared" si="6"/>
        <v>33362</v>
      </c>
      <c r="G166" s="1">
        <v>418362</v>
      </c>
      <c r="H166" s="1">
        <f t="shared" si="7"/>
        <v>0</v>
      </c>
      <c r="I166" s="1">
        <v>418362</v>
      </c>
      <c r="J166" s="1" t="s">
        <v>418</v>
      </c>
    </row>
    <row r="167" spans="1:10" x14ac:dyDescent="0.2">
      <c r="A167" s="1" t="s">
        <v>170</v>
      </c>
      <c r="B167" s="1" t="s">
        <v>172</v>
      </c>
      <c r="C167" s="1">
        <v>2005</v>
      </c>
      <c r="D167" s="1">
        <v>2025</v>
      </c>
      <c r="E167" s="1">
        <v>400000</v>
      </c>
      <c r="F167" s="1">
        <f t="shared" si="6"/>
        <v>17000</v>
      </c>
      <c r="G167" s="1">
        <v>417000</v>
      </c>
      <c r="H167" s="1">
        <f t="shared" si="7"/>
        <v>0</v>
      </c>
      <c r="I167" s="1">
        <v>417000</v>
      </c>
      <c r="J167" s="1" t="s">
        <v>418</v>
      </c>
    </row>
    <row r="168" spans="1:10" x14ac:dyDescent="0.2">
      <c r="A168" s="1" t="s">
        <v>170</v>
      </c>
      <c r="B168" s="1" t="s">
        <v>172</v>
      </c>
      <c r="C168" s="1">
        <v>2006</v>
      </c>
      <c r="D168" s="1">
        <v>2007</v>
      </c>
      <c r="E168" s="1">
        <v>755000</v>
      </c>
      <c r="F168" s="1">
        <f t="shared" si="6"/>
        <v>909529</v>
      </c>
      <c r="G168" s="1">
        <v>1664529</v>
      </c>
      <c r="H168" s="1">
        <f t="shared" si="7"/>
        <v>1404854</v>
      </c>
      <c r="I168" s="1">
        <v>3069383</v>
      </c>
      <c r="J168" s="1" t="s">
        <v>418</v>
      </c>
    </row>
    <row r="169" spans="1:10" x14ac:dyDescent="0.2">
      <c r="A169" s="1" t="s">
        <v>170</v>
      </c>
      <c r="B169" s="1" t="s">
        <v>172</v>
      </c>
      <c r="C169" s="1">
        <v>2006</v>
      </c>
      <c r="D169" s="1">
        <v>2008</v>
      </c>
      <c r="E169" s="1">
        <v>750000</v>
      </c>
      <c r="F169" s="1">
        <f t="shared" si="6"/>
        <v>916131</v>
      </c>
      <c r="G169" s="1">
        <v>1666131</v>
      </c>
      <c r="H169" s="1">
        <f t="shared" si="7"/>
        <v>1413554</v>
      </c>
      <c r="I169" s="1">
        <v>3079685</v>
      </c>
      <c r="J169" s="1" t="s">
        <v>418</v>
      </c>
    </row>
    <row r="170" spans="1:10" x14ac:dyDescent="0.2">
      <c r="A170" s="1" t="s">
        <v>170</v>
      </c>
      <c r="B170" s="1" t="s">
        <v>172</v>
      </c>
      <c r="C170" s="1">
        <v>2006</v>
      </c>
      <c r="D170" s="1">
        <v>2009</v>
      </c>
      <c r="E170" s="1">
        <v>780000</v>
      </c>
      <c r="F170" s="1">
        <f t="shared" si="6"/>
        <v>886131</v>
      </c>
      <c r="G170" s="1">
        <v>1666131</v>
      </c>
      <c r="H170" s="1">
        <f t="shared" si="7"/>
        <v>1408329</v>
      </c>
      <c r="I170" s="1">
        <v>3074460</v>
      </c>
      <c r="J170" s="1" t="s">
        <v>418</v>
      </c>
    </row>
    <row r="171" spans="1:10" x14ac:dyDescent="0.2">
      <c r="A171" s="1" t="s">
        <v>170</v>
      </c>
      <c r="B171" s="1" t="s">
        <v>172</v>
      </c>
      <c r="C171" s="1">
        <v>2006</v>
      </c>
      <c r="D171" s="1">
        <v>2010</v>
      </c>
      <c r="E171" s="1">
        <v>805000</v>
      </c>
      <c r="F171" s="1">
        <f t="shared" si="6"/>
        <v>854931</v>
      </c>
      <c r="G171" s="1">
        <v>1659931</v>
      </c>
      <c r="H171" s="1">
        <f t="shared" si="7"/>
        <v>1407704</v>
      </c>
      <c r="I171" s="1">
        <v>3067635</v>
      </c>
      <c r="J171" s="1" t="s">
        <v>418</v>
      </c>
    </row>
    <row r="172" spans="1:10" x14ac:dyDescent="0.2">
      <c r="A172" s="1" t="s">
        <v>170</v>
      </c>
      <c r="B172" s="1" t="s">
        <v>172</v>
      </c>
      <c r="C172" s="1">
        <v>2006</v>
      </c>
      <c r="D172" s="1">
        <v>2011</v>
      </c>
      <c r="E172" s="1">
        <v>835000</v>
      </c>
      <c r="F172" s="1">
        <f t="shared" si="6"/>
        <v>822731</v>
      </c>
      <c r="G172" s="1">
        <v>1657731</v>
      </c>
      <c r="H172" s="1">
        <f t="shared" si="7"/>
        <v>1409654</v>
      </c>
      <c r="I172" s="1">
        <v>3067385</v>
      </c>
      <c r="J172" s="1" t="s">
        <v>418</v>
      </c>
    </row>
    <row r="173" spans="1:10" x14ac:dyDescent="0.2">
      <c r="A173" s="1" t="s">
        <v>170</v>
      </c>
      <c r="B173" s="1" t="s">
        <v>172</v>
      </c>
      <c r="C173" s="1">
        <v>2006</v>
      </c>
      <c r="D173" s="1">
        <v>2012</v>
      </c>
      <c r="E173" s="1">
        <v>875000</v>
      </c>
      <c r="F173" s="1">
        <f t="shared" si="6"/>
        <v>789331</v>
      </c>
      <c r="G173" s="1">
        <v>1664331</v>
      </c>
      <c r="H173" s="1">
        <f t="shared" si="7"/>
        <v>1412454</v>
      </c>
      <c r="I173" s="1">
        <v>3076785</v>
      </c>
      <c r="J173" s="1" t="s">
        <v>418</v>
      </c>
    </row>
    <row r="174" spans="1:10" x14ac:dyDescent="0.2">
      <c r="A174" s="1" t="s">
        <v>170</v>
      </c>
      <c r="B174" s="1" t="s">
        <v>172</v>
      </c>
      <c r="C174" s="1">
        <v>2006</v>
      </c>
      <c r="D174" s="1">
        <v>2013</v>
      </c>
      <c r="E174" s="1">
        <v>905000</v>
      </c>
      <c r="F174" s="1">
        <f t="shared" si="6"/>
        <v>754331</v>
      </c>
      <c r="G174" s="1">
        <v>1659331</v>
      </c>
      <c r="H174" s="1">
        <f t="shared" si="7"/>
        <v>1414492</v>
      </c>
      <c r="I174" s="1">
        <v>3073823</v>
      </c>
      <c r="J174" s="1" t="s">
        <v>418</v>
      </c>
    </row>
    <row r="175" spans="1:10" x14ac:dyDescent="0.2">
      <c r="A175" s="1" t="s">
        <v>170</v>
      </c>
      <c r="B175" s="1" t="s">
        <v>172</v>
      </c>
      <c r="C175" s="1">
        <v>2006</v>
      </c>
      <c r="D175" s="1">
        <v>2014</v>
      </c>
      <c r="E175" s="1">
        <f>800000+1145000</f>
        <v>1945000</v>
      </c>
      <c r="F175" s="1">
        <f>G175-E175</f>
        <v>709081</v>
      </c>
      <c r="G175" s="1">
        <v>2654081</v>
      </c>
      <c r="H175" s="1">
        <f t="shared" si="7"/>
        <v>416204</v>
      </c>
      <c r="I175" s="1">
        <v>3070285</v>
      </c>
      <c r="J175" s="1" t="s">
        <v>418</v>
      </c>
    </row>
    <row r="176" spans="1:10" x14ac:dyDescent="0.2">
      <c r="A176" s="1" t="s">
        <v>170</v>
      </c>
      <c r="B176" s="1" t="s">
        <v>172</v>
      </c>
      <c r="C176" s="1">
        <v>2006</v>
      </c>
      <c r="D176" s="1">
        <v>2015</v>
      </c>
      <c r="E176" s="1">
        <v>2040000</v>
      </c>
      <c r="F176" s="1">
        <f t="shared" ref="F176:F182" si="8">G176-E176</f>
        <v>614106</v>
      </c>
      <c r="G176" s="1">
        <v>2654106</v>
      </c>
      <c r="H176" s="1">
        <f t="shared" si="7"/>
        <v>417104</v>
      </c>
      <c r="I176" s="1">
        <v>3071210</v>
      </c>
      <c r="J176" s="1" t="s">
        <v>418</v>
      </c>
    </row>
    <row r="177" spans="1:10" x14ac:dyDescent="0.2">
      <c r="A177" s="1" t="s">
        <v>170</v>
      </c>
      <c r="B177" s="1" t="s">
        <v>172</v>
      </c>
      <c r="C177" s="1">
        <v>2006</v>
      </c>
      <c r="D177" s="1">
        <v>2016</v>
      </c>
      <c r="E177" s="1">
        <f>740000+1225000</f>
        <v>1965000</v>
      </c>
      <c r="F177" s="1">
        <f t="shared" si="8"/>
        <v>512106</v>
      </c>
      <c r="G177" s="1">
        <v>2477106</v>
      </c>
      <c r="H177" s="1">
        <f t="shared" si="7"/>
        <v>417316</v>
      </c>
      <c r="I177" s="1">
        <v>2894422</v>
      </c>
      <c r="J177" s="1" t="s">
        <v>418</v>
      </c>
    </row>
    <row r="178" spans="1:10" x14ac:dyDescent="0.2">
      <c r="A178" s="1" t="s">
        <v>170</v>
      </c>
      <c r="B178" s="1" t="s">
        <v>172</v>
      </c>
      <c r="C178" s="1">
        <v>2006</v>
      </c>
      <c r="D178" s="1">
        <v>2017</v>
      </c>
      <c r="E178" s="1">
        <v>1835000</v>
      </c>
      <c r="F178" s="1">
        <f t="shared" si="8"/>
        <v>421256</v>
      </c>
      <c r="G178" s="1">
        <v>2256256</v>
      </c>
      <c r="H178" s="1">
        <f t="shared" si="7"/>
        <v>416957</v>
      </c>
      <c r="I178" s="1">
        <v>2673213</v>
      </c>
      <c r="J178" s="1" t="s">
        <v>418</v>
      </c>
    </row>
    <row r="179" spans="1:10" x14ac:dyDescent="0.2">
      <c r="A179" s="1" t="s">
        <v>170</v>
      </c>
      <c r="B179" s="1" t="s">
        <v>172</v>
      </c>
      <c r="C179" s="1">
        <v>2006</v>
      </c>
      <c r="D179" s="1">
        <v>2018</v>
      </c>
      <c r="E179" s="1">
        <v>1930000</v>
      </c>
      <c r="F179" s="1">
        <f t="shared" si="8"/>
        <v>329506</v>
      </c>
      <c r="G179" s="1">
        <v>2259506</v>
      </c>
      <c r="H179" s="1">
        <f t="shared" si="7"/>
        <v>415356</v>
      </c>
      <c r="I179" s="1">
        <v>2674862</v>
      </c>
      <c r="J179" s="1" t="s">
        <v>418</v>
      </c>
    </row>
    <row r="180" spans="1:10" x14ac:dyDescent="0.2">
      <c r="A180" s="1" t="s">
        <v>170</v>
      </c>
      <c r="B180" s="1" t="s">
        <v>172</v>
      </c>
      <c r="C180" s="1">
        <v>2006</v>
      </c>
      <c r="D180" s="1">
        <v>2019</v>
      </c>
      <c r="E180" s="1">
        <v>2000000</v>
      </c>
      <c r="F180" s="1">
        <f t="shared" si="8"/>
        <v>252306</v>
      </c>
      <c r="G180" s="1">
        <v>2252306</v>
      </c>
      <c r="H180" s="1">
        <f t="shared" si="7"/>
        <v>418357</v>
      </c>
      <c r="I180" s="1">
        <v>2670663</v>
      </c>
      <c r="J180" s="1" t="s">
        <v>418</v>
      </c>
    </row>
    <row r="181" spans="1:10" x14ac:dyDescent="0.2">
      <c r="A181" s="1" t="s">
        <v>170</v>
      </c>
      <c r="B181" s="1" t="s">
        <v>172</v>
      </c>
      <c r="C181" s="1">
        <v>2006</v>
      </c>
      <c r="D181" s="1">
        <v>2020</v>
      </c>
      <c r="E181" s="1">
        <v>2075000</v>
      </c>
      <c r="F181" s="1">
        <f t="shared" si="8"/>
        <v>172306</v>
      </c>
      <c r="G181" s="1">
        <v>2247306</v>
      </c>
      <c r="H181" s="1">
        <f t="shared" si="7"/>
        <v>415756</v>
      </c>
      <c r="I181" s="1">
        <v>2663062</v>
      </c>
      <c r="J181" s="1" t="s">
        <v>418</v>
      </c>
    </row>
    <row r="182" spans="1:10" x14ac:dyDescent="0.2">
      <c r="A182" s="1" t="s">
        <v>170</v>
      </c>
      <c r="B182" s="1" t="s">
        <v>172</v>
      </c>
      <c r="C182" s="1">
        <v>2006</v>
      </c>
      <c r="D182" s="1">
        <v>2021</v>
      </c>
      <c r="E182" s="1">
        <v>2165000</v>
      </c>
      <c r="F182" s="1">
        <f t="shared" si="8"/>
        <v>89306</v>
      </c>
      <c r="G182" s="1">
        <v>2254306</v>
      </c>
      <c r="H182" s="1">
        <f t="shared" si="7"/>
        <v>417757</v>
      </c>
      <c r="I182" s="1">
        <v>2672063</v>
      </c>
      <c r="J182" s="1" t="s">
        <v>418</v>
      </c>
    </row>
    <row r="183" spans="1:10" x14ac:dyDescent="0.2">
      <c r="A183" s="1" t="s">
        <v>170</v>
      </c>
      <c r="B183" s="1" t="s">
        <v>172</v>
      </c>
      <c r="C183" s="1">
        <v>2006</v>
      </c>
      <c r="D183" s="1">
        <v>2022</v>
      </c>
      <c r="E183" s="1">
        <v>0</v>
      </c>
      <c r="F183" s="1">
        <v>0</v>
      </c>
      <c r="G183" s="1">
        <v>0</v>
      </c>
      <c r="H183" s="1">
        <f t="shared" si="7"/>
        <v>418731</v>
      </c>
      <c r="I183" s="1">
        <v>418731</v>
      </c>
      <c r="J183" s="1" t="s">
        <v>418</v>
      </c>
    </row>
    <row r="184" spans="1:10" x14ac:dyDescent="0.2">
      <c r="A184" s="1" t="s">
        <v>170</v>
      </c>
      <c r="B184" s="1" t="s">
        <v>172</v>
      </c>
      <c r="C184" s="1">
        <v>2006</v>
      </c>
      <c r="D184" s="1">
        <v>2023</v>
      </c>
      <c r="E184" s="1">
        <v>0</v>
      </c>
      <c r="F184" s="1">
        <v>0</v>
      </c>
      <c r="G184" s="1">
        <v>0</v>
      </c>
      <c r="H184" s="1">
        <f t="shared" si="7"/>
        <v>419087</v>
      </c>
      <c r="I184" s="1">
        <v>419087</v>
      </c>
      <c r="J184" s="1" t="s">
        <v>418</v>
      </c>
    </row>
    <row r="185" spans="1:10" x14ac:dyDescent="0.2">
      <c r="A185" s="1" t="s">
        <v>170</v>
      </c>
      <c r="B185" s="1" t="s">
        <v>172</v>
      </c>
      <c r="C185" s="1">
        <v>2006</v>
      </c>
      <c r="D185" s="1">
        <v>2024</v>
      </c>
      <c r="E185" s="1">
        <v>0</v>
      </c>
      <c r="F185" s="1">
        <v>0</v>
      </c>
      <c r="G185" s="1">
        <v>0</v>
      </c>
      <c r="H185" s="1">
        <f t="shared" si="7"/>
        <v>418362</v>
      </c>
      <c r="I185" s="1">
        <v>418362</v>
      </c>
      <c r="J185" s="1" t="s">
        <v>418</v>
      </c>
    </row>
    <row r="186" spans="1:10" x14ac:dyDescent="0.2">
      <c r="A186" s="1" t="s">
        <v>170</v>
      </c>
      <c r="B186" s="1" t="s">
        <v>172</v>
      </c>
      <c r="C186" s="1">
        <v>2006</v>
      </c>
      <c r="D186" s="1">
        <v>2025</v>
      </c>
      <c r="E186" s="1">
        <v>0</v>
      </c>
      <c r="F186" s="1">
        <v>0</v>
      </c>
      <c r="G186" s="1">
        <v>0</v>
      </c>
      <c r="H186" s="1">
        <f t="shared" si="7"/>
        <v>417000</v>
      </c>
      <c r="I186" s="1">
        <v>417000</v>
      </c>
      <c r="J186" s="1" t="s">
        <v>418</v>
      </c>
    </row>
    <row r="187" spans="1:10" x14ac:dyDescent="0.2">
      <c r="A187" s="1" t="s">
        <v>170</v>
      </c>
      <c r="B187" s="1" t="s">
        <v>172</v>
      </c>
      <c r="C187" s="1">
        <v>2009</v>
      </c>
      <c r="D187" s="1">
        <v>2009</v>
      </c>
      <c r="E187" s="1">
        <v>315000</v>
      </c>
      <c r="F187" s="1">
        <v>38698</v>
      </c>
      <c r="G187" s="1">
        <v>353698</v>
      </c>
      <c r="H187" s="1">
        <f>I187-G187</f>
        <v>843979</v>
      </c>
      <c r="I187" s="1">
        <v>1197677</v>
      </c>
      <c r="J187" s="1" t="s">
        <v>431</v>
      </c>
    </row>
    <row r="188" spans="1:10" x14ac:dyDescent="0.2">
      <c r="A188" s="1" t="s">
        <v>170</v>
      </c>
      <c r="B188" s="1" t="s">
        <v>172</v>
      </c>
      <c r="C188" s="1">
        <v>2009</v>
      </c>
      <c r="D188" s="1">
        <v>2010</v>
      </c>
      <c r="E188" s="1">
        <v>495000</v>
      </c>
      <c r="F188" s="1">
        <v>509675</v>
      </c>
      <c r="G188" s="1">
        <v>1004675</v>
      </c>
      <c r="H188" s="1">
        <f t="shared" ref="H188:H205" si="9">I188-G188</f>
        <v>846861</v>
      </c>
      <c r="I188" s="1">
        <v>1851536</v>
      </c>
      <c r="J188" s="1" t="s">
        <v>431</v>
      </c>
    </row>
    <row r="189" spans="1:10" x14ac:dyDescent="0.2">
      <c r="A189" s="1" t="s">
        <v>170</v>
      </c>
      <c r="B189" s="1" t="s">
        <v>172</v>
      </c>
      <c r="C189" s="1">
        <v>2009</v>
      </c>
      <c r="D189" s="1">
        <v>2011</v>
      </c>
      <c r="E189" s="1">
        <v>1080000</v>
      </c>
      <c r="F189" s="1">
        <v>499775</v>
      </c>
      <c r="G189" s="1">
        <v>1579775</v>
      </c>
      <c r="H189" s="1">
        <f t="shared" si="9"/>
        <v>320874</v>
      </c>
      <c r="I189" s="1">
        <v>1900649</v>
      </c>
      <c r="J189" s="1" t="s">
        <v>431</v>
      </c>
    </row>
    <row r="190" spans="1:10" x14ac:dyDescent="0.2">
      <c r="A190" s="1" t="s">
        <v>170</v>
      </c>
      <c r="B190" s="1" t="s">
        <v>172</v>
      </c>
      <c r="C190" s="1">
        <v>2009</v>
      </c>
      <c r="D190" s="1">
        <v>2012</v>
      </c>
      <c r="E190" s="1">
        <v>1105000</v>
      </c>
      <c r="F190" s="1">
        <v>478000</v>
      </c>
      <c r="G190" s="1">
        <v>1583000</v>
      </c>
      <c r="H190" s="1">
        <f t="shared" si="9"/>
        <v>320874</v>
      </c>
      <c r="I190" s="1">
        <v>1903874</v>
      </c>
      <c r="J190" s="1" t="s">
        <v>431</v>
      </c>
    </row>
    <row r="191" spans="1:10" x14ac:dyDescent="0.2">
      <c r="A191" s="1" t="s">
        <v>170</v>
      </c>
      <c r="B191" s="1" t="s">
        <v>172</v>
      </c>
      <c r="C191" s="1">
        <v>2009</v>
      </c>
      <c r="D191" s="1">
        <v>2013</v>
      </c>
      <c r="E191" s="1">
        <v>1125000</v>
      </c>
      <c r="F191" s="1">
        <v>455725</v>
      </c>
      <c r="G191" s="1">
        <v>1580725</v>
      </c>
      <c r="H191" s="1">
        <f t="shared" si="9"/>
        <v>320874</v>
      </c>
      <c r="I191" s="1">
        <v>1901599</v>
      </c>
      <c r="J191" s="1" t="s">
        <v>431</v>
      </c>
    </row>
    <row r="192" spans="1:10" x14ac:dyDescent="0.2">
      <c r="A192" s="1" t="s">
        <v>170</v>
      </c>
      <c r="B192" s="1" t="s">
        <v>172</v>
      </c>
      <c r="C192" s="1">
        <v>2009</v>
      </c>
      <c r="D192" s="1">
        <v>2014</v>
      </c>
      <c r="E192" s="1">
        <v>1150000</v>
      </c>
      <c r="F192" s="1">
        <v>433050</v>
      </c>
      <c r="G192" s="1">
        <v>1583050</v>
      </c>
      <c r="H192" s="1">
        <f t="shared" si="9"/>
        <v>320874</v>
      </c>
      <c r="I192" s="1">
        <v>1903924</v>
      </c>
      <c r="J192" s="1" t="s">
        <v>431</v>
      </c>
    </row>
    <row r="193" spans="1:10" x14ac:dyDescent="0.2">
      <c r="A193" s="1" t="s">
        <v>170</v>
      </c>
      <c r="B193" s="1" t="s">
        <v>172</v>
      </c>
      <c r="C193" s="1">
        <v>2009</v>
      </c>
      <c r="D193" s="1">
        <v>2015</v>
      </c>
      <c r="E193" s="1">
        <v>1175000</v>
      </c>
      <c r="F193" s="1">
        <v>404300</v>
      </c>
      <c r="G193" s="1">
        <v>1579300</v>
      </c>
      <c r="H193" s="1">
        <f t="shared" si="9"/>
        <v>320874</v>
      </c>
      <c r="I193" s="1">
        <v>1900174</v>
      </c>
      <c r="J193" s="1" t="s">
        <v>431</v>
      </c>
    </row>
    <row r="194" spans="1:10" x14ac:dyDescent="0.2">
      <c r="A194" s="1" t="s">
        <v>170</v>
      </c>
      <c r="B194" s="1" t="s">
        <v>172</v>
      </c>
      <c r="C194" s="1">
        <v>2009</v>
      </c>
      <c r="D194" s="1">
        <v>2016</v>
      </c>
      <c r="E194" s="1">
        <v>1205000</v>
      </c>
      <c r="F194" s="1">
        <v>374925</v>
      </c>
      <c r="G194" s="1">
        <v>1579925</v>
      </c>
      <c r="H194" s="1">
        <f t="shared" si="9"/>
        <v>320874</v>
      </c>
      <c r="I194" s="1">
        <v>1900799</v>
      </c>
      <c r="J194" s="1" t="s">
        <v>431</v>
      </c>
    </row>
    <row r="195" spans="1:10" x14ac:dyDescent="0.2">
      <c r="A195" s="1" t="s">
        <v>170</v>
      </c>
      <c r="B195" s="1" t="s">
        <v>172</v>
      </c>
      <c r="C195" s="1">
        <v>2009</v>
      </c>
      <c r="D195" s="1">
        <v>2017</v>
      </c>
      <c r="E195" s="1">
        <v>1245000</v>
      </c>
      <c r="F195" s="1">
        <v>335762</v>
      </c>
      <c r="G195" s="1">
        <v>1580762</v>
      </c>
      <c r="H195" s="1">
        <f t="shared" si="9"/>
        <v>320875</v>
      </c>
      <c r="I195" s="1">
        <v>1901637</v>
      </c>
      <c r="J195" s="1" t="s">
        <v>431</v>
      </c>
    </row>
    <row r="196" spans="1:10" x14ac:dyDescent="0.2">
      <c r="A196" s="1" t="s">
        <v>170</v>
      </c>
      <c r="B196" s="1" t="s">
        <v>172</v>
      </c>
      <c r="C196" s="1">
        <v>2009</v>
      </c>
      <c r="D196" s="1">
        <v>2018</v>
      </c>
      <c r="E196" s="1">
        <v>1285000</v>
      </c>
      <c r="F196" s="1">
        <v>292187</v>
      </c>
      <c r="G196" s="1">
        <v>1577187</v>
      </c>
      <c r="H196" s="1">
        <f t="shared" si="9"/>
        <v>320875</v>
      </c>
      <c r="I196" s="1">
        <v>1898062</v>
      </c>
      <c r="J196" s="1" t="s">
        <v>431</v>
      </c>
    </row>
    <row r="197" spans="1:10" x14ac:dyDescent="0.2">
      <c r="A197" s="1" t="s">
        <v>170</v>
      </c>
      <c r="B197" s="1" t="s">
        <v>172</v>
      </c>
      <c r="C197" s="1">
        <v>2009</v>
      </c>
      <c r="D197" s="1">
        <v>2019</v>
      </c>
      <c r="E197" s="1">
        <v>1335000</v>
      </c>
      <c r="F197" s="1">
        <v>244000</v>
      </c>
      <c r="G197" s="1">
        <v>1579000</v>
      </c>
      <c r="H197" s="1">
        <f t="shared" si="9"/>
        <v>320874</v>
      </c>
      <c r="I197" s="1">
        <v>1899874</v>
      </c>
      <c r="J197" s="1" t="s">
        <v>431</v>
      </c>
    </row>
    <row r="198" spans="1:10" x14ac:dyDescent="0.2">
      <c r="A198" s="1" t="s">
        <v>170</v>
      </c>
      <c r="B198" s="1" t="s">
        <v>172</v>
      </c>
      <c r="C198" s="1">
        <v>2009</v>
      </c>
      <c r="D198" s="1">
        <v>2020</v>
      </c>
      <c r="E198" s="1">
        <v>1395000</v>
      </c>
      <c r="F198" s="1">
        <v>190600</v>
      </c>
      <c r="G198" s="1">
        <v>1585600</v>
      </c>
      <c r="H198" s="1">
        <f t="shared" si="9"/>
        <v>320874</v>
      </c>
      <c r="I198" s="1">
        <v>1906474</v>
      </c>
      <c r="J198" s="1" t="s">
        <v>431</v>
      </c>
    </row>
    <row r="199" spans="1:10" x14ac:dyDescent="0.2">
      <c r="A199" s="1" t="s">
        <v>170</v>
      </c>
      <c r="B199" s="1" t="s">
        <v>172</v>
      </c>
      <c r="C199" s="1">
        <v>2009</v>
      </c>
      <c r="D199" s="1">
        <v>2021</v>
      </c>
      <c r="E199" s="1">
        <v>1455000</v>
      </c>
      <c r="F199" s="1">
        <v>134800</v>
      </c>
      <c r="G199" s="1">
        <v>1589800</v>
      </c>
      <c r="H199" s="1">
        <f t="shared" si="9"/>
        <v>320874</v>
      </c>
      <c r="I199" s="1">
        <v>1910674</v>
      </c>
      <c r="J199" s="1" t="s">
        <v>431</v>
      </c>
    </row>
    <row r="200" spans="1:10" x14ac:dyDescent="0.2">
      <c r="A200" s="1" t="s">
        <v>170</v>
      </c>
      <c r="B200" s="1" t="s">
        <v>172</v>
      </c>
      <c r="C200" s="1">
        <v>2009</v>
      </c>
      <c r="D200" s="1">
        <v>2022</v>
      </c>
      <c r="E200" s="1">
        <v>1510000</v>
      </c>
      <c r="F200" s="1">
        <v>76600</v>
      </c>
      <c r="G200" s="1">
        <v>1586600</v>
      </c>
      <c r="H200" s="1">
        <f t="shared" si="9"/>
        <v>320874</v>
      </c>
      <c r="I200" s="1">
        <v>1907474</v>
      </c>
      <c r="J200" s="1" t="s">
        <v>431</v>
      </c>
    </row>
    <row r="201" spans="1:10" x14ac:dyDescent="0.2">
      <c r="A201" s="1" t="s">
        <v>170</v>
      </c>
      <c r="B201" s="1" t="s">
        <v>172</v>
      </c>
      <c r="C201" s="1">
        <v>2009</v>
      </c>
      <c r="D201" s="1">
        <v>2023</v>
      </c>
      <c r="E201" s="1">
        <v>405000</v>
      </c>
      <c r="F201" s="1">
        <v>16200</v>
      </c>
      <c r="G201" s="1">
        <v>421200</v>
      </c>
      <c r="H201" s="1">
        <f t="shared" si="9"/>
        <v>320874</v>
      </c>
      <c r="I201" s="1">
        <v>742074</v>
      </c>
      <c r="J201" s="1" t="s">
        <v>431</v>
      </c>
    </row>
    <row r="202" spans="1:10" x14ac:dyDescent="0.2">
      <c r="A202" s="1" t="s">
        <v>170</v>
      </c>
      <c r="B202" s="1" t="s">
        <v>172</v>
      </c>
      <c r="C202" s="1">
        <v>2009</v>
      </c>
      <c r="D202" s="1">
        <v>2024</v>
      </c>
      <c r="E202" s="1">
        <v>0</v>
      </c>
      <c r="F202" s="1">
        <v>0</v>
      </c>
      <c r="G202" s="1">
        <v>0</v>
      </c>
      <c r="H202" s="1">
        <f t="shared" si="9"/>
        <v>320874</v>
      </c>
      <c r="I202" s="1">
        <v>320874</v>
      </c>
      <c r="J202" s="1" t="s">
        <v>431</v>
      </c>
    </row>
    <row r="203" spans="1:10" x14ac:dyDescent="0.2">
      <c r="A203" s="1" t="s">
        <v>170</v>
      </c>
      <c r="B203" s="1" t="s">
        <v>172</v>
      </c>
      <c r="C203" s="1">
        <v>2009</v>
      </c>
      <c r="D203" s="1">
        <v>2025</v>
      </c>
      <c r="E203" s="1">
        <v>0</v>
      </c>
      <c r="F203" s="1">
        <v>0</v>
      </c>
      <c r="G203" s="1">
        <v>0</v>
      </c>
      <c r="H203" s="1">
        <f>I203-G203</f>
        <v>320874</v>
      </c>
      <c r="I203" s="1">
        <v>320874</v>
      </c>
      <c r="J203" s="1" t="s">
        <v>431</v>
      </c>
    </row>
    <row r="204" spans="1:10" x14ac:dyDescent="0.2">
      <c r="A204" s="1" t="s">
        <v>170</v>
      </c>
      <c r="B204" s="1" t="s">
        <v>172</v>
      </c>
      <c r="C204" s="1">
        <v>2009</v>
      </c>
      <c r="D204" s="1">
        <v>2026</v>
      </c>
      <c r="E204" s="1">
        <v>0</v>
      </c>
      <c r="F204" s="1">
        <v>0</v>
      </c>
      <c r="G204" s="1">
        <v>0</v>
      </c>
      <c r="H204" s="1">
        <f t="shared" si="9"/>
        <v>320874</v>
      </c>
      <c r="I204" s="1">
        <v>320874</v>
      </c>
      <c r="J204" s="1" t="s">
        <v>431</v>
      </c>
    </row>
    <row r="205" spans="1:10" x14ac:dyDescent="0.2">
      <c r="A205" s="1" t="s">
        <v>170</v>
      </c>
      <c r="B205" s="1" t="s">
        <v>172</v>
      </c>
      <c r="C205" s="1">
        <v>2009</v>
      </c>
      <c r="D205" s="1">
        <v>2027</v>
      </c>
      <c r="E205" s="1">
        <v>0</v>
      </c>
      <c r="F205" s="1">
        <v>0</v>
      </c>
      <c r="G205" s="1">
        <v>0</v>
      </c>
      <c r="H205" s="1">
        <f t="shared" si="9"/>
        <v>320874</v>
      </c>
      <c r="I205" s="1">
        <v>320874</v>
      </c>
      <c r="J205" s="1" t="s">
        <v>431</v>
      </c>
    </row>
    <row r="206" spans="1:10" x14ac:dyDescent="0.2">
      <c r="A206" s="1" t="s">
        <v>170</v>
      </c>
      <c r="B206" s="1" t="s">
        <v>172</v>
      </c>
      <c r="C206" s="1">
        <v>2012</v>
      </c>
      <c r="D206" s="1">
        <v>2012</v>
      </c>
      <c r="E206" s="1">
        <v>200000</v>
      </c>
      <c r="F206" s="1">
        <v>60450</v>
      </c>
      <c r="G206" s="1">
        <v>260450</v>
      </c>
      <c r="J206" s="1" t="s">
        <v>418</v>
      </c>
    </row>
    <row r="207" spans="1:10" x14ac:dyDescent="0.2">
      <c r="A207" s="1" t="s">
        <v>170</v>
      </c>
      <c r="B207" s="1" t="s">
        <v>172</v>
      </c>
      <c r="C207" s="1">
        <v>2012</v>
      </c>
      <c r="D207" s="1">
        <v>2013</v>
      </c>
      <c r="E207" s="1">
        <v>295000</v>
      </c>
      <c r="F207" s="1">
        <v>115000</v>
      </c>
      <c r="G207" s="1">
        <v>410000</v>
      </c>
      <c r="J207" s="1" t="s">
        <v>418</v>
      </c>
    </row>
    <row r="208" spans="1:10" x14ac:dyDescent="0.2">
      <c r="A208" s="1" t="s">
        <v>170</v>
      </c>
      <c r="B208" s="1" t="s">
        <v>172</v>
      </c>
      <c r="C208" s="1">
        <v>2012</v>
      </c>
      <c r="D208" s="1">
        <v>2014</v>
      </c>
      <c r="E208" s="1">
        <v>295000</v>
      </c>
      <c r="F208" s="1">
        <v>109100</v>
      </c>
      <c r="G208" s="1">
        <v>404100</v>
      </c>
      <c r="J208" s="1" t="s">
        <v>418</v>
      </c>
    </row>
    <row r="209" spans="1:10" x14ac:dyDescent="0.2">
      <c r="A209" s="1" t="s">
        <v>170</v>
      </c>
      <c r="B209" s="1" t="s">
        <v>172</v>
      </c>
      <c r="C209" s="1">
        <v>2012</v>
      </c>
      <c r="D209" s="1">
        <v>2015</v>
      </c>
      <c r="E209" s="1">
        <v>305000</v>
      </c>
      <c r="F209" s="1">
        <v>103200</v>
      </c>
      <c r="G209" s="1">
        <v>408200</v>
      </c>
      <c r="J209" s="1" t="s">
        <v>418</v>
      </c>
    </row>
    <row r="210" spans="1:10" x14ac:dyDescent="0.2">
      <c r="A210" s="1" t="s">
        <v>170</v>
      </c>
      <c r="B210" s="1" t="s">
        <v>172</v>
      </c>
      <c r="C210" s="1">
        <v>2012</v>
      </c>
      <c r="D210" s="1">
        <v>2016</v>
      </c>
      <c r="E210" s="1">
        <v>310000</v>
      </c>
      <c r="F210" s="1">
        <v>97100</v>
      </c>
      <c r="G210" s="1">
        <v>407100</v>
      </c>
      <c r="J210" s="1" t="s">
        <v>418</v>
      </c>
    </row>
    <row r="211" spans="1:10" x14ac:dyDescent="0.2">
      <c r="A211" s="1" t="s">
        <v>170</v>
      </c>
      <c r="B211" s="1" t="s">
        <v>172</v>
      </c>
      <c r="C211" s="1">
        <v>2012</v>
      </c>
      <c r="D211" s="1">
        <v>2017</v>
      </c>
      <c r="E211" s="1">
        <v>315000</v>
      </c>
      <c r="F211" s="1">
        <v>90900</v>
      </c>
      <c r="G211" s="1">
        <v>405900</v>
      </c>
      <c r="J211" s="1" t="s">
        <v>418</v>
      </c>
    </row>
    <row r="212" spans="1:10" x14ac:dyDescent="0.2">
      <c r="A212" s="1" t="s">
        <v>170</v>
      </c>
      <c r="B212" s="1" t="s">
        <v>172</v>
      </c>
      <c r="C212" s="1">
        <v>2012</v>
      </c>
      <c r="D212" s="1">
        <v>2018</v>
      </c>
      <c r="E212" s="1">
        <v>320000</v>
      </c>
      <c r="F212" s="1">
        <v>83813</v>
      </c>
      <c r="G212" s="1">
        <v>403813</v>
      </c>
      <c r="J212" s="1" t="s">
        <v>418</v>
      </c>
    </row>
    <row r="213" spans="1:10" x14ac:dyDescent="0.2">
      <c r="A213" s="1" t="s">
        <v>170</v>
      </c>
      <c r="B213" s="1" t="s">
        <v>172</v>
      </c>
      <c r="C213" s="1">
        <v>2012</v>
      </c>
      <c r="D213" s="1">
        <v>2019</v>
      </c>
      <c r="E213" s="1">
        <v>330000</v>
      </c>
      <c r="F213" s="1">
        <v>73812</v>
      </c>
      <c r="G213" s="1">
        <v>403812</v>
      </c>
      <c r="J213" s="1" t="s">
        <v>418</v>
      </c>
    </row>
    <row r="214" spans="1:10" x14ac:dyDescent="0.2">
      <c r="A214" s="1" t="s">
        <v>170</v>
      </c>
      <c r="B214" s="1" t="s">
        <v>172</v>
      </c>
      <c r="C214" s="1">
        <v>2012</v>
      </c>
      <c r="D214" s="1">
        <v>2020</v>
      </c>
      <c r="E214" s="1">
        <v>340000</v>
      </c>
      <c r="F214" s="1">
        <v>67563</v>
      </c>
      <c r="G214" s="1">
        <v>407563</v>
      </c>
      <c r="J214" s="1" t="s">
        <v>418</v>
      </c>
    </row>
    <row r="215" spans="1:10" x14ac:dyDescent="0.2">
      <c r="A215" s="1" t="s">
        <v>170</v>
      </c>
      <c r="B215" s="1" t="s">
        <v>172</v>
      </c>
      <c r="C215" s="1">
        <v>2012</v>
      </c>
      <c r="D215" s="1">
        <v>2021</v>
      </c>
      <c r="E215" s="1">
        <v>350000</v>
      </c>
      <c r="F215" s="1">
        <v>58212</v>
      </c>
      <c r="G215" s="1">
        <v>408212</v>
      </c>
      <c r="J215" s="1" t="s">
        <v>418</v>
      </c>
    </row>
    <row r="216" spans="1:10" x14ac:dyDescent="0.2">
      <c r="A216" s="1" t="s">
        <v>170</v>
      </c>
      <c r="B216" s="1" t="s">
        <v>172</v>
      </c>
      <c r="C216" s="1">
        <v>2012</v>
      </c>
      <c r="D216" s="1">
        <v>2022</v>
      </c>
      <c r="E216" s="1">
        <v>360000</v>
      </c>
      <c r="F216" s="1">
        <v>47713</v>
      </c>
      <c r="G216" s="1">
        <v>407713</v>
      </c>
      <c r="J216" s="1" t="s">
        <v>418</v>
      </c>
    </row>
    <row r="217" spans="1:10" x14ac:dyDescent="0.2">
      <c r="A217" s="1" t="s">
        <v>170</v>
      </c>
      <c r="B217" s="1" t="s">
        <v>172</v>
      </c>
      <c r="C217" s="1">
        <v>2012</v>
      </c>
      <c r="D217" s="1">
        <v>2023</v>
      </c>
      <c r="E217" s="1">
        <v>370000</v>
      </c>
      <c r="F217" s="1">
        <v>36912</v>
      </c>
      <c r="G217" s="1">
        <v>406912</v>
      </c>
      <c r="J217" s="1" t="s">
        <v>418</v>
      </c>
    </row>
    <row r="218" spans="1:10" x14ac:dyDescent="0.2">
      <c r="A218" s="1" t="s">
        <v>170</v>
      </c>
      <c r="B218" s="1" t="s">
        <v>172</v>
      </c>
      <c r="C218" s="1">
        <v>2012</v>
      </c>
      <c r="D218" s="1">
        <v>2024</v>
      </c>
      <c r="E218" s="1">
        <v>385000</v>
      </c>
      <c r="F218" s="1">
        <v>25350</v>
      </c>
      <c r="G218" s="1">
        <v>410350</v>
      </c>
      <c r="J218" s="1" t="s">
        <v>418</v>
      </c>
    </row>
    <row r="219" spans="1:10" x14ac:dyDescent="0.2">
      <c r="A219" s="1" t="s">
        <v>170</v>
      </c>
      <c r="B219" s="1" t="s">
        <v>172</v>
      </c>
      <c r="C219" s="1">
        <v>2012</v>
      </c>
      <c r="D219" s="1">
        <v>2025</v>
      </c>
      <c r="E219" s="1">
        <v>395000</v>
      </c>
      <c r="F219" s="1">
        <v>12837</v>
      </c>
      <c r="G219" s="1">
        <v>407837</v>
      </c>
      <c r="J219" s="1" t="s">
        <v>418</v>
      </c>
    </row>
    <row r="220" spans="1:10" x14ac:dyDescent="0.2">
      <c r="A220" s="1" t="s">
        <v>170</v>
      </c>
      <c r="B220" s="1" t="s">
        <v>172</v>
      </c>
      <c r="C220" s="1">
        <v>2012</v>
      </c>
      <c r="D220" s="1">
        <v>2012</v>
      </c>
      <c r="E220" s="1">
        <v>5000</v>
      </c>
      <c r="F220" s="1">
        <v>70910</v>
      </c>
      <c r="G220" s="1">
        <v>75910</v>
      </c>
      <c r="J220" s="1" t="s">
        <v>431</v>
      </c>
    </row>
    <row r="221" spans="1:10" x14ac:dyDescent="0.2">
      <c r="A221" s="1" t="s">
        <v>170</v>
      </c>
      <c r="B221" s="1" t="s">
        <v>172</v>
      </c>
      <c r="C221" s="1">
        <v>2012</v>
      </c>
      <c r="D221" s="1">
        <v>2013</v>
      </c>
      <c r="E221" s="1">
        <v>45000</v>
      </c>
      <c r="F221" s="1">
        <v>121460</v>
      </c>
      <c r="G221" s="1">
        <v>166460</v>
      </c>
      <c r="J221" s="1" t="s">
        <v>431</v>
      </c>
    </row>
    <row r="222" spans="1:10" x14ac:dyDescent="0.2">
      <c r="A222" s="1" t="s">
        <v>170</v>
      </c>
      <c r="B222" s="1" t="s">
        <v>172</v>
      </c>
      <c r="C222" s="1">
        <v>2012</v>
      </c>
      <c r="D222" s="1">
        <v>2014</v>
      </c>
      <c r="E222" s="1">
        <v>65000</v>
      </c>
      <c r="F222" s="1">
        <v>120560</v>
      </c>
      <c r="G222" s="1">
        <v>185560</v>
      </c>
      <c r="J222" s="1" t="s">
        <v>431</v>
      </c>
    </row>
    <row r="223" spans="1:10" x14ac:dyDescent="0.2">
      <c r="A223" s="1" t="s">
        <v>170</v>
      </c>
      <c r="B223" s="1" t="s">
        <v>172</v>
      </c>
      <c r="C223" s="1">
        <v>2012</v>
      </c>
      <c r="D223" s="1">
        <v>2015</v>
      </c>
      <c r="E223" s="1">
        <v>70000</v>
      </c>
      <c r="F223" s="1">
        <v>119260</v>
      </c>
      <c r="G223" s="1">
        <v>189260</v>
      </c>
      <c r="J223" s="1" t="s">
        <v>431</v>
      </c>
    </row>
    <row r="224" spans="1:10" x14ac:dyDescent="0.2">
      <c r="A224" s="1" t="s">
        <v>170</v>
      </c>
      <c r="B224" s="1" t="s">
        <v>172</v>
      </c>
      <c r="C224" s="1">
        <v>2012</v>
      </c>
      <c r="D224" s="1">
        <v>2016</v>
      </c>
      <c r="E224" s="1">
        <v>70000</v>
      </c>
      <c r="F224" s="1">
        <v>117860</v>
      </c>
      <c r="G224" s="1">
        <v>187860</v>
      </c>
      <c r="J224" s="1" t="s">
        <v>431</v>
      </c>
    </row>
    <row r="225" spans="1:10" x14ac:dyDescent="0.2">
      <c r="A225" s="1" t="s">
        <v>170</v>
      </c>
      <c r="B225" s="1" t="s">
        <v>172</v>
      </c>
      <c r="C225" s="1">
        <v>2012</v>
      </c>
      <c r="D225" s="1">
        <v>2017</v>
      </c>
      <c r="E225" s="1">
        <v>70000</v>
      </c>
      <c r="F225" s="1">
        <v>116460</v>
      </c>
      <c r="G225" s="1">
        <v>186460</v>
      </c>
      <c r="J225" s="1" t="s">
        <v>431</v>
      </c>
    </row>
    <row r="226" spans="1:10" x14ac:dyDescent="0.2">
      <c r="A226" s="1" t="s">
        <v>170</v>
      </c>
      <c r="B226" s="1" t="s">
        <v>172</v>
      </c>
      <c r="C226" s="1">
        <v>2012</v>
      </c>
      <c r="D226" s="1">
        <v>2018</v>
      </c>
      <c r="E226" s="1">
        <v>75000</v>
      </c>
      <c r="F226" s="1">
        <v>115060</v>
      </c>
      <c r="G226" s="1">
        <v>190060</v>
      </c>
      <c r="J226" s="1" t="s">
        <v>431</v>
      </c>
    </row>
    <row r="227" spans="1:10" x14ac:dyDescent="0.2">
      <c r="A227" s="1" t="s">
        <v>170</v>
      </c>
      <c r="B227" s="1" t="s">
        <v>172</v>
      </c>
      <c r="C227" s="1">
        <v>2012</v>
      </c>
      <c r="D227" s="1">
        <v>2019</v>
      </c>
      <c r="E227" s="1">
        <v>75000</v>
      </c>
      <c r="F227" s="1">
        <v>113560</v>
      </c>
      <c r="G227" s="1">
        <v>188560</v>
      </c>
      <c r="J227" s="1" t="s">
        <v>431</v>
      </c>
    </row>
    <row r="228" spans="1:10" x14ac:dyDescent="0.2">
      <c r="A228" s="1" t="s">
        <v>170</v>
      </c>
      <c r="B228" s="1" t="s">
        <v>172</v>
      </c>
      <c r="C228" s="1">
        <v>2012</v>
      </c>
      <c r="D228" s="1">
        <v>2020</v>
      </c>
      <c r="E228" s="1">
        <v>1470000</v>
      </c>
      <c r="F228" s="1">
        <v>112060</v>
      </c>
      <c r="G228" s="1">
        <v>1582060</v>
      </c>
      <c r="J228" s="1" t="s">
        <v>431</v>
      </c>
    </row>
    <row r="229" spans="1:10" x14ac:dyDescent="0.2">
      <c r="A229" s="1" t="s">
        <v>170</v>
      </c>
      <c r="B229" s="1" t="s">
        <v>172</v>
      </c>
      <c r="C229" s="1">
        <v>2012</v>
      </c>
      <c r="D229" s="1">
        <v>2021</v>
      </c>
      <c r="E229" s="1">
        <v>1505000</v>
      </c>
      <c r="F229" s="1">
        <v>81925</v>
      </c>
      <c r="G229" s="1">
        <v>1586925</v>
      </c>
      <c r="J229" s="1" t="s">
        <v>431</v>
      </c>
    </row>
    <row r="230" spans="1:10" x14ac:dyDescent="0.2">
      <c r="A230" s="1" t="s">
        <v>170</v>
      </c>
      <c r="B230" s="1" t="s">
        <v>172</v>
      </c>
      <c r="C230" s="1">
        <v>2012</v>
      </c>
      <c r="D230" s="1">
        <v>2022</v>
      </c>
      <c r="E230" s="1">
        <v>1535000</v>
      </c>
      <c r="F230" s="1">
        <v>48062</v>
      </c>
      <c r="G230" s="1">
        <v>1583062</v>
      </c>
      <c r="J230" s="1" t="s">
        <v>431</v>
      </c>
    </row>
    <row r="231" spans="1:10" x14ac:dyDescent="0.2">
      <c r="A231" s="1" t="s">
        <v>170</v>
      </c>
      <c r="B231" s="1" t="s">
        <v>172</v>
      </c>
      <c r="C231" s="1">
        <v>2012</v>
      </c>
      <c r="D231" s="1">
        <v>2023</v>
      </c>
      <c r="E231" s="1">
        <v>410000</v>
      </c>
      <c r="F231" s="1">
        <v>10455</v>
      </c>
      <c r="G231" s="1">
        <v>420455</v>
      </c>
      <c r="J231" s="1" t="s">
        <v>431</v>
      </c>
    </row>
    <row r="232" spans="1:10" x14ac:dyDescent="0.2">
      <c r="A232" s="1" t="s">
        <v>170</v>
      </c>
      <c r="B232" s="1" t="s">
        <v>172</v>
      </c>
      <c r="C232" s="1">
        <v>2016</v>
      </c>
      <c r="D232" s="1">
        <v>2016</v>
      </c>
      <c r="E232" s="1">
        <v>1335000</v>
      </c>
      <c r="F232" s="1">
        <v>72090</v>
      </c>
      <c r="G232" s="1">
        <f>SUM(E232:F232)</f>
        <v>1407090</v>
      </c>
      <c r="J232" s="1" t="s">
        <v>418</v>
      </c>
    </row>
    <row r="233" spans="1:10" x14ac:dyDescent="0.2">
      <c r="A233" s="1" t="s">
        <v>170</v>
      </c>
      <c r="B233" s="1" t="s">
        <v>172</v>
      </c>
      <c r="C233" s="1">
        <v>2016</v>
      </c>
      <c r="D233" s="1">
        <v>2017</v>
      </c>
      <c r="E233" s="1">
        <v>1845000</v>
      </c>
      <c r="F233" s="1">
        <f>205621*2</f>
        <v>411242</v>
      </c>
      <c r="G233" s="1">
        <f t="shared" ref="G233:G241" si="10">SUM(E233:F233)</f>
        <v>2256242</v>
      </c>
      <c r="J233" s="1" t="s">
        <v>418</v>
      </c>
    </row>
    <row r="234" spans="1:10" x14ac:dyDescent="0.2">
      <c r="A234" s="1" t="s">
        <v>170</v>
      </c>
      <c r="B234" s="1" t="s">
        <v>172</v>
      </c>
      <c r="C234" s="1">
        <v>2016</v>
      </c>
      <c r="D234" s="1">
        <v>2018</v>
      </c>
      <c r="E234" s="1">
        <v>1860000</v>
      </c>
      <c r="F234" s="1">
        <f>199625*2</f>
        <v>399250</v>
      </c>
      <c r="G234" s="1">
        <f t="shared" si="10"/>
        <v>2259250</v>
      </c>
      <c r="J234" s="1" t="s">
        <v>418</v>
      </c>
    </row>
    <row r="235" spans="1:10" x14ac:dyDescent="0.2">
      <c r="A235" s="1" t="s">
        <v>170</v>
      </c>
      <c r="B235" s="1" t="s">
        <v>172</v>
      </c>
      <c r="C235" s="1">
        <v>2016</v>
      </c>
      <c r="D235" s="1">
        <v>2019</v>
      </c>
      <c r="E235" s="1">
        <v>1945000</v>
      </c>
      <c r="F235" s="1">
        <f>153125*2</f>
        <v>306250</v>
      </c>
      <c r="G235" s="1">
        <f t="shared" si="10"/>
        <v>2251250</v>
      </c>
      <c r="J235" s="1" t="s">
        <v>418</v>
      </c>
    </row>
    <row r="236" spans="1:10" x14ac:dyDescent="0.2">
      <c r="A236" s="1" t="s">
        <v>170</v>
      </c>
      <c r="B236" s="1" t="s">
        <v>172</v>
      </c>
      <c r="C236" s="1">
        <v>2016</v>
      </c>
      <c r="D236" s="1">
        <v>2020</v>
      </c>
      <c r="E236" s="1">
        <v>2035000</v>
      </c>
      <c r="F236" s="1">
        <f>104500*2</f>
        <v>209000</v>
      </c>
      <c r="G236" s="1">
        <f t="shared" si="10"/>
        <v>2244000</v>
      </c>
      <c r="J236" s="1" t="s">
        <v>418</v>
      </c>
    </row>
    <row r="237" spans="1:10" x14ac:dyDescent="0.2">
      <c r="A237" s="1" t="s">
        <v>170</v>
      </c>
      <c r="B237" s="1" t="s">
        <v>172</v>
      </c>
      <c r="C237" s="1">
        <v>2016</v>
      </c>
      <c r="D237" s="1">
        <v>2021</v>
      </c>
      <c r="E237" s="1">
        <v>2145000</v>
      </c>
      <c r="F237" s="1">
        <f>53625*2</f>
        <v>107250</v>
      </c>
      <c r="G237" s="1">
        <f t="shared" si="10"/>
        <v>2252250</v>
      </c>
      <c r="J237" s="1" t="s">
        <v>418</v>
      </c>
    </row>
    <row r="238" spans="1:10" x14ac:dyDescent="0.2">
      <c r="A238" s="1" t="s">
        <v>170</v>
      </c>
      <c r="B238" s="1" t="s">
        <v>172</v>
      </c>
      <c r="C238" s="1">
        <v>2016</v>
      </c>
      <c r="D238" s="1">
        <v>2016</v>
      </c>
      <c r="E238" s="1">
        <v>1030000</v>
      </c>
      <c r="F238" s="1">
        <v>46368</v>
      </c>
      <c r="G238" s="1">
        <f t="shared" si="10"/>
        <v>1076368</v>
      </c>
      <c r="H238" s="1">
        <v>6934721</v>
      </c>
      <c r="I238" s="1">
        <f>SUM(G238:H238)</f>
        <v>8011089</v>
      </c>
      <c r="J238" s="1" t="s">
        <v>719</v>
      </c>
    </row>
    <row r="239" spans="1:10" x14ac:dyDescent="0.2">
      <c r="A239" s="1" t="s">
        <v>170</v>
      </c>
      <c r="B239" s="1" t="s">
        <v>172</v>
      </c>
      <c r="C239" s="1">
        <v>2016</v>
      </c>
      <c r="D239" s="1">
        <v>2017</v>
      </c>
      <c r="E239" s="1">
        <v>1250000</v>
      </c>
      <c r="F239" s="1">
        <f>68437*2</f>
        <v>136874</v>
      </c>
      <c r="G239" s="1">
        <f t="shared" si="10"/>
        <v>1386874</v>
      </c>
      <c r="H239" s="1">
        <v>6561197</v>
      </c>
      <c r="I239" s="1">
        <f t="shared" ref="I239:I242" si="11">SUM(G239:H239)</f>
        <v>7948071</v>
      </c>
      <c r="J239" s="1" t="s">
        <v>719</v>
      </c>
    </row>
    <row r="240" spans="1:10" x14ac:dyDescent="0.2">
      <c r="A240" s="1" t="s">
        <v>170</v>
      </c>
      <c r="B240" s="1" t="s">
        <v>172</v>
      </c>
      <c r="C240" s="1">
        <v>2016</v>
      </c>
      <c r="D240" s="1">
        <v>2018</v>
      </c>
      <c r="E240" s="1">
        <v>1255000</v>
      </c>
      <c r="F240" s="1">
        <f>64375*2</f>
        <v>128750</v>
      </c>
      <c r="G240" s="1">
        <f t="shared" si="10"/>
        <v>1383750</v>
      </c>
      <c r="H240" s="1">
        <v>6430771</v>
      </c>
      <c r="I240" s="1">
        <f t="shared" si="11"/>
        <v>7814521</v>
      </c>
      <c r="J240" s="1" t="s">
        <v>719</v>
      </c>
    </row>
    <row r="241" spans="1:10" x14ac:dyDescent="0.2">
      <c r="A241" s="1" t="s">
        <v>170</v>
      </c>
      <c r="B241" s="1" t="s">
        <v>172</v>
      </c>
      <c r="C241" s="1">
        <v>2016</v>
      </c>
      <c r="D241" s="1">
        <v>2019</v>
      </c>
      <c r="E241" s="1">
        <v>1320000</v>
      </c>
      <c r="F241" s="1">
        <f>33000*2</f>
        <v>66000</v>
      </c>
      <c r="G241" s="1">
        <f t="shared" si="10"/>
        <v>1386000</v>
      </c>
      <c r="H241" s="1">
        <v>6295121</v>
      </c>
      <c r="I241" s="1">
        <f t="shared" si="11"/>
        <v>7681121</v>
      </c>
      <c r="J241" s="1" t="s">
        <v>719</v>
      </c>
    </row>
    <row r="242" spans="1:10" x14ac:dyDescent="0.2">
      <c r="A242" s="1" t="s">
        <v>170</v>
      </c>
      <c r="B242" s="1" t="s">
        <v>172</v>
      </c>
      <c r="C242" s="1">
        <v>2016</v>
      </c>
      <c r="D242" s="1">
        <v>2020</v>
      </c>
      <c r="E242" s="1">
        <v>0</v>
      </c>
      <c r="F242" s="1">
        <v>0</v>
      </c>
      <c r="G242" s="1">
        <v>0</v>
      </c>
      <c r="H242" s="1">
        <v>6175205</v>
      </c>
      <c r="I242" s="1">
        <f t="shared" si="11"/>
        <v>6175205</v>
      </c>
      <c r="J242" s="1" t="s">
        <v>719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baseColWidth="10" defaultColWidth="8.83203125" defaultRowHeight="15" x14ac:dyDescent="0.2"/>
  <cols>
    <col min="1" max="16384" width="8.83203125" style="1"/>
  </cols>
  <sheetData>
    <row r="1" spans="1:9" x14ac:dyDescent="0.2">
      <c r="A1" s="2" t="s">
        <v>0</v>
      </c>
      <c r="B1" s="2" t="s">
        <v>27</v>
      </c>
      <c r="C1" s="2" t="s">
        <v>2</v>
      </c>
      <c r="D1" s="2" t="s">
        <v>99</v>
      </c>
      <c r="E1" s="4" t="s">
        <v>100</v>
      </c>
      <c r="F1" s="4" t="s">
        <v>101</v>
      </c>
      <c r="G1" s="4" t="s">
        <v>102</v>
      </c>
      <c r="H1" s="4" t="s">
        <v>103</v>
      </c>
      <c r="I1" s="4" t="s">
        <v>104</v>
      </c>
    </row>
    <row r="2" spans="1:9" x14ac:dyDescent="0.2">
      <c r="A2" s="7" t="s">
        <v>167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1"/>
  <sheetViews>
    <sheetView topLeftCell="A29" workbookViewId="0">
      <selection activeCell="D68" sqref="D68"/>
    </sheetView>
  </sheetViews>
  <sheetFormatPr baseColWidth="10" defaultColWidth="8.83203125" defaultRowHeight="15" x14ac:dyDescent="0.2"/>
  <cols>
    <col min="1" max="1" width="10.1640625" style="1" bestFit="1" customWidth="1"/>
    <col min="2" max="3" width="8.83203125" style="1"/>
    <col min="4" max="4" width="16" style="1" bestFit="1" customWidth="1"/>
    <col min="5" max="5" width="16.83203125" style="1" customWidth="1"/>
    <col min="6" max="6" width="10.1640625" style="1" bestFit="1" customWidth="1"/>
    <col min="7" max="7" width="11.33203125" style="1" bestFit="1" customWidth="1"/>
    <col min="8" max="16384" width="8.83203125" style="1"/>
  </cols>
  <sheetData>
    <row r="1" spans="1:8" x14ac:dyDescent="0.2">
      <c r="A1" s="18" t="s">
        <v>0</v>
      </c>
      <c r="B1" s="18" t="s">
        <v>27</v>
      </c>
      <c r="C1" s="18" t="s">
        <v>2</v>
      </c>
      <c r="D1" s="18" t="s">
        <v>109</v>
      </c>
      <c r="E1" s="18" t="s">
        <v>110</v>
      </c>
      <c r="F1" s="18" t="s">
        <v>111</v>
      </c>
      <c r="G1" s="18" t="s">
        <v>112</v>
      </c>
      <c r="H1" s="18" t="s">
        <v>85</v>
      </c>
    </row>
    <row r="2" spans="1:8" x14ac:dyDescent="0.2">
      <c r="A2" s="1" t="s">
        <v>170</v>
      </c>
      <c r="B2" s="1" t="s">
        <v>172</v>
      </c>
      <c r="C2" s="1">
        <v>1990</v>
      </c>
      <c r="D2" s="1" t="s">
        <v>180</v>
      </c>
      <c r="E2" s="1" t="s">
        <v>185</v>
      </c>
      <c r="F2" s="1">
        <v>1991</v>
      </c>
    </row>
    <row r="3" spans="1:8" x14ac:dyDescent="0.2">
      <c r="A3" s="1" t="s">
        <v>170</v>
      </c>
      <c r="B3" s="1" t="s">
        <v>172</v>
      </c>
      <c r="C3" s="1">
        <v>1990</v>
      </c>
      <c r="D3" s="1" t="s">
        <v>181</v>
      </c>
      <c r="E3" s="1" t="s">
        <v>186</v>
      </c>
      <c r="F3" s="1">
        <v>1993</v>
      </c>
    </row>
    <row r="4" spans="1:8" x14ac:dyDescent="0.2">
      <c r="A4" s="1" t="s">
        <v>170</v>
      </c>
      <c r="B4" s="1" t="s">
        <v>172</v>
      </c>
      <c r="C4" s="1">
        <v>1990</v>
      </c>
      <c r="D4" s="1" t="s">
        <v>182</v>
      </c>
      <c r="E4" s="1" t="s">
        <v>187</v>
      </c>
      <c r="F4" s="1">
        <v>1994</v>
      </c>
    </row>
    <row r="5" spans="1:8" x14ac:dyDescent="0.2">
      <c r="A5" s="1" t="s">
        <v>170</v>
      </c>
      <c r="B5" s="1" t="s">
        <v>172</v>
      </c>
      <c r="C5" s="1">
        <v>1990</v>
      </c>
      <c r="D5" s="1" t="s">
        <v>183</v>
      </c>
      <c r="E5" s="1" t="s">
        <v>188</v>
      </c>
      <c r="F5" s="1">
        <v>1995</v>
      </c>
    </row>
    <row r="6" spans="1:8" x14ac:dyDescent="0.2">
      <c r="A6" s="1" t="s">
        <v>170</v>
      </c>
      <c r="B6" s="1" t="s">
        <v>172</v>
      </c>
      <c r="C6" s="1">
        <v>1990</v>
      </c>
      <c r="D6" s="1" t="s">
        <v>184</v>
      </c>
      <c r="E6" s="1" t="s">
        <v>189</v>
      </c>
      <c r="F6" s="1">
        <v>1991</v>
      </c>
    </row>
    <row r="7" spans="1:8" x14ac:dyDescent="0.2">
      <c r="A7" s="1" t="s">
        <v>170</v>
      </c>
      <c r="B7" s="1" t="s">
        <v>172</v>
      </c>
      <c r="C7" s="1">
        <v>1991</v>
      </c>
      <c r="D7" s="1" t="s">
        <v>180</v>
      </c>
      <c r="E7" s="1" t="s">
        <v>185</v>
      </c>
      <c r="F7" s="1">
        <v>1991</v>
      </c>
    </row>
    <row r="8" spans="1:8" x14ac:dyDescent="0.2">
      <c r="A8" s="1" t="s">
        <v>170</v>
      </c>
      <c r="B8" s="1" t="s">
        <v>172</v>
      </c>
      <c r="C8" s="1">
        <v>1991</v>
      </c>
      <c r="D8" s="1" t="s">
        <v>181</v>
      </c>
      <c r="E8" s="1" t="s">
        <v>186</v>
      </c>
      <c r="F8" s="1">
        <v>1993</v>
      </c>
    </row>
    <row r="9" spans="1:8" x14ac:dyDescent="0.2">
      <c r="A9" s="1" t="s">
        <v>170</v>
      </c>
      <c r="B9" s="1" t="s">
        <v>172</v>
      </c>
      <c r="C9" s="1">
        <v>1991</v>
      </c>
      <c r="D9" s="1" t="s">
        <v>182</v>
      </c>
      <c r="E9" s="1" t="s">
        <v>187</v>
      </c>
      <c r="F9" s="1">
        <v>1994</v>
      </c>
    </row>
    <row r="10" spans="1:8" x14ac:dyDescent="0.2">
      <c r="A10" s="1" t="s">
        <v>170</v>
      </c>
      <c r="B10" s="1" t="s">
        <v>172</v>
      </c>
      <c r="C10" s="1">
        <v>1991</v>
      </c>
      <c r="D10" s="1" t="s">
        <v>183</v>
      </c>
      <c r="E10" s="1" t="s">
        <v>188</v>
      </c>
      <c r="F10" s="1">
        <v>1995</v>
      </c>
    </row>
    <row r="11" spans="1:8" x14ac:dyDescent="0.2">
      <c r="A11" s="1" t="s">
        <v>170</v>
      </c>
      <c r="B11" s="1" t="s">
        <v>172</v>
      </c>
      <c r="C11" s="1">
        <v>1991</v>
      </c>
      <c r="D11" s="1" t="s">
        <v>184</v>
      </c>
      <c r="E11" s="1" t="s">
        <v>189</v>
      </c>
      <c r="F11" s="1">
        <v>1991</v>
      </c>
    </row>
    <row r="12" spans="1:8" x14ac:dyDescent="0.2">
      <c r="A12" s="1" t="s">
        <v>170</v>
      </c>
      <c r="B12" s="1" t="s">
        <v>172</v>
      </c>
      <c r="C12" s="1">
        <v>1995</v>
      </c>
      <c r="D12" s="1" t="s">
        <v>180</v>
      </c>
      <c r="E12" s="1" t="s">
        <v>185</v>
      </c>
      <c r="F12" s="1">
        <v>1997</v>
      </c>
    </row>
    <row r="13" spans="1:8" x14ac:dyDescent="0.2">
      <c r="A13" s="1" t="s">
        <v>170</v>
      </c>
      <c r="B13" s="1" t="s">
        <v>172</v>
      </c>
      <c r="C13" s="1">
        <v>1995</v>
      </c>
      <c r="D13" s="1" t="s">
        <v>181</v>
      </c>
      <c r="E13" s="1" t="s">
        <v>186</v>
      </c>
      <c r="F13" s="1">
        <v>1998</v>
      </c>
    </row>
    <row r="14" spans="1:8" x14ac:dyDescent="0.2">
      <c r="A14" s="1" t="s">
        <v>170</v>
      </c>
      <c r="B14" s="1" t="s">
        <v>172</v>
      </c>
      <c r="C14" s="1">
        <v>1995</v>
      </c>
      <c r="D14" s="1" t="s">
        <v>184</v>
      </c>
      <c r="E14" s="1" t="s">
        <v>187</v>
      </c>
      <c r="F14" s="1">
        <v>1996</v>
      </c>
    </row>
    <row r="15" spans="1:8" x14ac:dyDescent="0.2">
      <c r="A15" s="1" t="s">
        <v>170</v>
      </c>
      <c r="B15" s="1" t="s">
        <v>172</v>
      </c>
      <c r="C15" s="1">
        <v>1995</v>
      </c>
      <c r="D15" s="1" t="s">
        <v>183</v>
      </c>
      <c r="E15" s="1" t="s">
        <v>188</v>
      </c>
      <c r="F15" s="1">
        <v>2000</v>
      </c>
    </row>
    <row r="16" spans="1:8" x14ac:dyDescent="0.2">
      <c r="A16" s="1" t="s">
        <v>170</v>
      </c>
      <c r="B16" s="1" t="s">
        <v>172</v>
      </c>
      <c r="C16" s="1">
        <v>1995</v>
      </c>
      <c r="D16" s="1" t="s">
        <v>373</v>
      </c>
      <c r="E16" s="1" t="s">
        <v>189</v>
      </c>
      <c r="F16" s="1">
        <v>1999</v>
      </c>
    </row>
    <row r="17" spans="1:6" x14ac:dyDescent="0.2">
      <c r="A17" s="1" t="s">
        <v>170</v>
      </c>
      <c r="B17" s="1" t="s">
        <v>172</v>
      </c>
      <c r="C17" s="1">
        <v>1995</v>
      </c>
      <c r="D17" s="1" t="s">
        <v>180</v>
      </c>
      <c r="E17" s="1" t="s">
        <v>185</v>
      </c>
      <c r="F17" s="1">
        <v>1997</v>
      </c>
    </row>
    <row r="18" spans="1:6" x14ac:dyDescent="0.2">
      <c r="A18" s="1" t="s">
        <v>170</v>
      </c>
      <c r="B18" s="1" t="s">
        <v>172</v>
      </c>
      <c r="C18" s="1">
        <v>1995</v>
      </c>
      <c r="D18" s="1" t="s">
        <v>181</v>
      </c>
      <c r="E18" s="1" t="s">
        <v>186</v>
      </c>
      <c r="F18" s="1">
        <v>1998</v>
      </c>
    </row>
    <row r="19" spans="1:6" x14ac:dyDescent="0.2">
      <c r="A19" s="1" t="s">
        <v>170</v>
      </c>
      <c r="B19" s="1" t="s">
        <v>172</v>
      </c>
      <c r="C19" s="1">
        <v>1995</v>
      </c>
      <c r="D19" s="1" t="s">
        <v>184</v>
      </c>
      <c r="E19" s="1" t="s">
        <v>187</v>
      </c>
      <c r="F19" s="1">
        <v>1996</v>
      </c>
    </row>
    <row r="20" spans="1:6" x14ac:dyDescent="0.2">
      <c r="A20" s="1" t="s">
        <v>170</v>
      </c>
      <c r="B20" s="1" t="s">
        <v>172</v>
      </c>
      <c r="C20" s="1">
        <v>1995</v>
      </c>
      <c r="D20" s="1" t="s">
        <v>183</v>
      </c>
      <c r="E20" s="1" t="s">
        <v>188</v>
      </c>
      <c r="F20" s="1">
        <v>2000</v>
      </c>
    </row>
    <row r="21" spans="1:6" x14ac:dyDescent="0.2">
      <c r="A21" s="1" t="s">
        <v>170</v>
      </c>
      <c r="B21" s="1" t="s">
        <v>172</v>
      </c>
      <c r="C21" s="1">
        <v>1995</v>
      </c>
      <c r="D21" s="1" t="s">
        <v>400</v>
      </c>
      <c r="E21" s="1" t="s">
        <v>401</v>
      </c>
      <c r="F21" s="1" t="s">
        <v>176</v>
      </c>
    </row>
    <row r="22" spans="1:6" x14ac:dyDescent="0.2">
      <c r="A22" s="1" t="s">
        <v>170</v>
      </c>
      <c r="B22" s="1" t="s">
        <v>172</v>
      </c>
      <c r="C22" s="1">
        <v>1998</v>
      </c>
      <c r="D22" s="1" t="s">
        <v>181</v>
      </c>
      <c r="E22" s="1" t="s">
        <v>185</v>
      </c>
      <c r="F22" s="1">
        <v>2003</v>
      </c>
    </row>
    <row r="23" spans="1:6" x14ac:dyDescent="0.2">
      <c r="A23" s="1" t="s">
        <v>170</v>
      </c>
      <c r="B23" s="1" t="s">
        <v>172</v>
      </c>
      <c r="C23" s="1">
        <v>1998</v>
      </c>
      <c r="D23" s="1" t="s">
        <v>184</v>
      </c>
      <c r="E23" s="1" t="s">
        <v>420</v>
      </c>
      <c r="F23" s="1">
        <v>2001</v>
      </c>
    </row>
    <row r="24" spans="1:6" x14ac:dyDescent="0.2">
      <c r="A24" s="1" t="s">
        <v>170</v>
      </c>
      <c r="B24" s="1" t="s">
        <v>172</v>
      </c>
      <c r="C24" s="1">
        <v>1998</v>
      </c>
      <c r="D24" s="1" t="s">
        <v>183</v>
      </c>
      <c r="E24" s="1" t="s">
        <v>188</v>
      </c>
      <c r="F24" s="1">
        <v>2000</v>
      </c>
    </row>
    <row r="25" spans="1:6" x14ac:dyDescent="0.2">
      <c r="A25" s="1" t="s">
        <v>170</v>
      </c>
      <c r="B25" s="1" t="s">
        <v>172</v>
      </c>
      <c r="C25" s="1">
        <v>1998</v>
      </c>
      <c r="D25" s="1" t="s">
        <v>400</v>
      </c>
      <c r="E25" s="1" t="s">
        <v>189</v>
      </c>
      <c r="F25" s="1">
        <v>1999</v>
      </c>
    </row>
    <row r="26" spans="1:6" x14ac:dyDescent="0.2">
      <c r="A26" s="1" t="s">
        <v>170</v>
      </c>
      <c r="B26" s="1" t="s">
        <v>172</v>
      </c>
      <c r="C26" s="1">
        <v>1998</v>
      </c>
      <c r="D26" s="1" t="s">
        <v>419</v>
      </c>
      <c r="E26" s="1" t="s">
        <v>401</v>
      </c>
      <c r="F26" s="1">
        <v>2002</v>
      </c>
    </row>
    <row r="27" spans="1:6" x14ac:dyDescent="0.2">
      <c r="A27" s="1" t="s">
        <v>170</v>
      </c>
      <c r="B27" s="1" t="s">
        <v>172</v>
      </c>
      <c r="C27" s="1">
        <v>2003</v>
      </c>
      <c r="D27" s="1" t="s">
        <v>181</v>
      </c>
      <c r="E27" s="1" t="s">
        <v>185</v>
      </c>
      <c r="F27" s="1">
        <v>2008</v>
      </c>
    </row>
    <row r="28" spans="1:6" x14ac:dyDescent="0.2">
      <c r="A28" s="1" t="s">
        <v>170</v>
      </c>
      <c r="B28" s="1" t="s">
        <v>172</v>
      </c>
      <c r="C28" s="1">
        <v>2003</v>
      </c>
      <c r="D28" s="1" t="s">
        <v>184</v>
      </c>
      <c r="E28" s="1" t="s">
        <v>186</v>
      </c>
      <c r="F28" s="1">
        <v>2006</v>
      </c>
    </row>
    <row r="29" spans="1:6" x14ac:dyDescent="0.2">
      <c r="A29" s="1" t="s">
        <v>170</v>
      </c>
      <c r="B29" s="1" t="s">
        <v>172</v>
      </c>
      <c r="C29" s="1">
        <v>2003</v>
      </c>
      <c r="D29" s="1" t="s">
        <v>183</v>
      </c>
      <c r="E29" s="1" t="s">
        <v>188</v>
      </c>
      <c r="F29" s="1">
        <v>2005</v>
      </c>
    </row>
    <row r="30" spans="1:6" x14ac:dyDescent="0.2">
      <c r="A30" s="1" t="s">
        <v>170</v>
      </c>
      <c r="B30" s="1" t="s">
        <v>172</v>
      </c>
      <c r="C30" s="1">
        <v>2003</v>
      </c>
      <c r="D30" s="1" t="s">
        <v>451</v>
      </c>
      <c r="E30" s="1" t="s">
        <v>187</v>
      </c>
      <c r="F30" s="1">
        <v>2007</v>
      </c>
    </row>
    <row r="31" spans="1:6" x14ac:dyDescent="0.2">
      <c r="A31" s="1" t="s">
        <v>170</v>
      </c>
      <c r="B31" s="1" t="s">
        <v>172</v>
      </c>
      <c r="C31" s="1">
        <v>2003</v>
      </c>
      <c r="D31" s="1" t="s">
        <v>452</v>
      </c>
      <c r="E31" s="1" t="s">
        <v>401</v>
      </c>
      <c r="F31" s="1">
        <v>2004</v>
      </c>
    </row>
    <row r="32" spans="1:6" x14ac:dyDescent="0.2">
      <c r="A32" s="1" t="s">
        <v>170</v>
      </c>
      <c r="B32" s="1" t="s">
        <v>172</v>
      </c>
      <c r="C32" s="1">
        <v>2004</v>
      </c>
      <c r="D32" s="1" t="s">
        <v>181</v>
      </c>
      <c r="E32" s="1" t="s">
        <v>185</v>
      </c>
      <c r="F32" s="1">
        <v>2008</v>
      </c>
    </row>
    <row r="33" spans="1:6" x14ac:dyDescent="0.2">
      <c r="A33" s="1" t="s">
        <v>170</v>
      </c>
      <c r="B33" s="1" t="s">
        <v>172</v>
      </c>
      <c r="C33" s="1">
        <v>2004</v>
      </c>
      <c r="D33" s="1" t="s">
        <v>184</v>
      </c>
      <c r="E33" s="1" t="s">
        <v>186</v>
      </c>
      <c r="F33" s="1">
        <v>2006</v>
      </c>
    </row>
    <row r="34" spans="1:6" x14ac:dyDescent="0.2">
      <c r="A34" s="1" t="s">
        <v>170</v>
      </c>
      <c r="B34" s="1" t="s">
        <v>172</v>
      </c>
      <c r="C34" s="1">
        <v>2004</v>
      </c>
      <c r="D34" s="1" t="s">
        <v>183</v>
      </c>
      <c r="E34" s="1" t="s">
        <v>188</v>
      </c>
      <c r="F34" s="1">
        <v>2005</v>
      </c>
    </row>
    <row r="35" spans="1:6" x14ac:dyDescent="0.2">
      <c r="A35" s="1" t="s">
        <v>170</v>
      </c>
      <c r="B35" s="1" t="s">
        <v>172</v>
      </c>
      <c r="C35" s="1">
        <v>2004</v>
      </c>
      <c r="D35" s="1" t="s">
        <v>451</v>
      </c>
      <c r="E35" s="1" t="s">
        <v>187</v>
      </c>
      <c r="F35" s="1">
        <v>2007</v>
      </c>
    </row>
    <row r="36" spans="1:6" x14ac:dyDescent="0.2">
      <c r="A36" s="1" t="s">
        <v>170</v>
      </c>
      <c r="B36" s="1" t="s">
        <v>172</v>
      </c>
      <c r="C36" s="1">
        <v>2004</v>
      </c>
      <c r="D36" s="1" t="s">
        <v>452</v>
      </c>
      <c r="E36" s="1" t="s">
        <v>189</v>
      </c>
      <c r="F36" s="1">
        <v>2009</v>
      </c>
    </row>
    <row r="37" spans="1:6" x14ac:dyDescent="0.2">
      <c r="A37" s="1" t="s">
        <v>170</v>
      </c>
      <c r="B37" s="1" t="s">
        <v>172</v>
      </c>
      <c r="C37" s="1">
        <v>2005</v>
      </c>
      <c r="D37" s="1" t="s">
        <v>181</v>
      </c>
      <c r="E37" s="1" t="s">
        <v>185</v>
      </c>
      <c r="F37" s="1">
        <v>2008</v>
      </c>
    </row>
    <row r="38" spans="1:6" x14ac:dyDescent="0.2">
      <c r="A38" s="1" t="s">
        <v>170</v>
      </c>
      <c r="B38" s="1" t="s">
        <v>172</v>
      </c>
      <c r="C38" s="1">
        <v>2005</v>
      </c>
      <c r="D38" s="1" t="s">
        <v>184</v>
      </c>
      <c r="E38" s="1" t="s">
        <v>186</v>
      </c>
      <c r="F38" s="1">
        <v>2006</v>
      </c>
    </row>
    <row r="39" spans="1:6" x14ac:dyDescent="0.2">
      <c r="A39" s="1" t="s">
        <v>170</v>
      </c>
      <c r="B39" s="1" t="s">
        <v>172</v>
      </c>
      <c r="C39" s="1">
        <v>2005</v>
      </c>
      <c r="D39" s="1" t="s">
        <v>452</v>
      </c>
      <c r="E39" s="1" t="s">
        <v>188</v>
      </c>
      <c r="F39" s="1">
        <v>2009</v>
      </c>
    </row>
    <row r="40" spans="1:6" x14ac:dyDescent="0.2">
      <c r="A40" s="1" t="s">
        <v>170</v>
      </c>
      <c r="B40" s="1" t="s">
        <v>172</v>
      </c>
      <c r="C40" s="1">
        <v>2005</v>
      </c>
      <c r="D40" s="1" t="s">
        <v>451</v>
      </c>
      <c r="E40" s="1" t="s">
        <v>187</v>
      </c>
      <c r="F40" s="1">
        <v>2007</v>
      </c>
    </row>
    <row r="41" spans="1:6" x14ac:dyDescent="0.2">
      <c r="A41" s="1" t="s">
        <v>170</v>
      </c>
      <c r="B41" s="1" t="s">
        <v>172</v>
      </c>
      <c r="C41" s="1">
        <v>2005</v>
      </c>
      <c r="D41" s="1" t="s">
        <v>510</v>
      </c>
      <c r="E41" s="1" t="s">
        <v>189</v>
      </c>
      <c r="F41" s="1">
        <v>2010</v>
      </c>
    </row>
    <row r="42" spans="1:6" x14ac:dyDescent="0.2">
      <c r="A42" s="1" t="s">
        <v>170</v>
      </c>
      <c r="B42" s="1" t="s">
        <v>172</v>
      </c>
      <c r="C42" s="1">
        <v>2006</v>
      </c>
      <c r="D42" s="1" t="s">
        <v>181</v>
      </c>
      <c r="E42" s="1" t="s">
        <v>185</v>
      </c>
      <c r="F42" s="1">
        <v>2008</v>
      </c>
    </row>
    <row r="43" spans="1:6" x14ac:dyDescent="0.2">
      <c r="A43" s="1" t="s">
        <v>170</v>
      </c>
      <c r="B43" s="1" t="s">
        <v>172</v>
      </c>
      <c r="C43" s="1">
        <v>2006</v>
      </c>
      <c r="D43" s="1" t="s">
        <v>451</v>
      </c>
      <c r="E43" s="1" t="s">
        <v>186</v>
      </c>
      <c r="F43" s="1">
        <v>2007</v>
      </c>
    </row>
    <row r="44" spans="1:6" x14ac:dyDescent="0.2">
      <c r="A44" s="1" t="s">
        <v>170</v>
      </c>
      <c r="B44" s="1" t="s">
        <v>172</v>
      </c>
      <c r="C44" s="1">
        <v>2006</v>
      </c>
      <c r="D44" s="1" t="s">
        <v>452</v>
      </c>
      <c r="E44" s="1" t="s">
        <v>188</v>
      </c>
      <c r="F44" s="1">
        <v>2009</v>
      </c>
    </row>
    <row r="45" spans="1:6" x14ac:dyDescent="0.2">
      <c r="A45" s="1" t="s">
        <v>170</v>
      </c>
      <c r="B45" s="1" t="s">
        <v>172</v>
      </c>
      <c r="C45" s="1">
        <v>2006</v>
      </c>
      <c r="D45" s="1" t="s">
        <v>510</v>
      </c>
      <c r="E45" s="1" t="s">
        <v>187</v>
      </c>
      <c r="F45" s="1">
        <v>2010</v>
      </c>
    </row>
    <row r="46" spans="1:6" x14ac:dyDescent="0.2">
      <c r="A46" s="1" t="s">
        <v>170</v>
      </c>
      <c r="B46" s="1" t="s">
        <v>172</v>
      </c>
      <c r="C46" s="1">
        <v>2006</v>
      </c>
      <c r="D46" s="1" t="s">
        <v>540</v>
      </c>
      <c r="E46" s="1" t="s">
        <v>189</v>
      </c>
      <c r="F46" s="1">
        <v>2011</v>
      </c>
    </row>
    <row r="47" spans="1:6" x14ac:dyDescent="0.2">
      <c r="A47" s="1" t="s">
        <v>170</v>
      </c>
      <c r="B47" s="1" t="s">
        <v>172</v>
      </c>
      <c r="C47" s="1">
        <v>2009</v>
      </c>
      <c r="D47" s="1" t="s">
        <v>510</v>
      </c>
      <c r="E47" s="1" t="s">
        <v>185</v>
      </c>
      <c r="F47" s="1">
        <v>2010</v>
      </c>
    </row>
    <row r="48" spans="1:6" x14ac:dyDescent="0.2">
      <c r="A48" s="1" t="s">
        <v>170</v>
      </c>
      <c r="B48" s="1" t="s">
        <v>172</v>
      </c>
      <c r="C48" s="1">
        <v>2009</v>
      </c>
      <c r="D48" s="1" t="s">
        <v>451</v>
      </c>
      <c r="E48" s="1" t="s">
        <v>186</v>
      </c>
      <c r="F48" s="1">
        <v>2012</v>
      </c>
    </row>
    <row r="49" spans="1:6" x14ac:dyDescent="0.2">
      <c r="A49" s="1" t="s">
        <v>170</v>
      </c>
      <c r="B49" s="1" t="s">
        <v>172</v>
      </c>
      <c r="C49" s="1">
        <v>2009</v>
      </c>
      <c r="D49" s="1" t="s">
        <v>540</v>
      </c>
      <c r="E49" s="1" t="s">
        <v>188</v>
      </c>
      <c r="F49" s="1">
        <v>2011</v>
      </c>
    </row>
    <row r="50" spans="1:6" x14ac:dyDescent="0.2">
      <c r="A50" s="1" t="s">
        <v>170</v>
      </c>
      <c r="B50" s="1" t="s">
        <v>172</v>
      </c>
      <c r="C50" s="1">
        <v>2009</v>
      </c>
      <c r="D50" s="1" t="s">
        <v>571</v>
      </c>
      <c r="E50" s="1" t="s">
        <v>187</v>
      </c>
      <c r="F50" s="1">
        <v>2013</v>
      </c>
    </row>
    <row r="51" spans="1:6" x14ac:dyDescent="0.2">
      <c r="A51" s="1" t="s">
        <v>170</v>
      </c>
      <c r="B51" s="1" t="s">
        <v>172</v>
      </c>
      <c r="C51" s="1">
        <v>2009</v>
      </c>
      <c r="D51" s="1" t="s">
        <v>572</v>
      </c>
      <c r="E51" s="1" t="s">
        <v>189</v>
      </c>
      <c r="F51" s="1">
        <v>2014</v>
      </c>
    </row>
    <row r="52" spans="1:6" x14ac:dyDescent="0.2">
      <c r="A52" s="1" t="s">
        <v>170</v>
      </c>
      <c r="B52" s="1" t="s">
        <v>172</v>
      </c>
      <c r="C52" s="1">
        <v>2012</v>
      </c>
      <c r="D52" s="1" t="s">
        <v>510</v>
      </c>
      <c r="E52" s="1" t="s">
        <v>185</v>
      </c>
      <c r="F52" s="1">
        <v>2015</v>
      </c>
    </row>
    <row r="53" spans="1:6" x14ac:dyDescent="0.2">
      <c r="A53" s="1" t="s">
        <v>170</v>
      </c>
      <c r="B53" s="1" t="s">
        <v>172</v>
      </c>
      <c r="C53" s="1">
        <v>2012</v>
      </c>
      <c r="D53" s="1" t="s">
        <v>604</v>
      </c>
      <c r="E53" s="1" t="s">
        <v>186</v>
      </c>
      <c r="F53" s="1">
        <v>2016</v>
      </c>
    </row>
    <row r="54" spans="1:6" x14ac:dyDescent="0.2">
      <c r="A54" s="1" t="s">
        <v>170</v>
      </c>
      <c r="B54" s="1" t="s">
        <v>172</v>
      </c>
      <c r="C54" s="1">
        <v>2012</v>
      </c>
      <c r="D54" s="1" t="s">
        <v>572</v>
      </c>
      <c r="E54" s="1" t="s">
        <v>188</v>
      </c>
      <c r="F54" s="1">
        <v>2014</v>
      </c>
    </row>
    <row r="55" spans="1:6" x14ac:dyDescent="0.2">
      <c r="A55" s="1" t="s">
        <v>170</v>
      </c>
      <c r="B55" s="1" t="s">
        <v>172</v>
      </c>
      <c r="C55" s="1">
        <v>2012</v>
      </c>
      <c r="D55" s="1" t="s">
        <v>571</v>
      </c>
      <c r="E55" s="1" t="s">
        <v>187</v>
      </c>
      <c r="F55" s="1">
        <v>2013</v>
      </c>
    </row>
    <row r="56" spans="1:6" x14ac:dyDescent="0.2">
      <c r="A56" s="1" t="s">
        <v>170</v>
      </c>
      <c r="B56" s="1" t="s">
        <v>172</v>
      </c>
      <c r="C56" s="1">
        <v>2012</v>
      </c>
      <c r="D56" s="1" t="s">
        <v>605</v>
      </c>
      <c r="E56" s="1" t="s">
        <v>189</v>
      </c>
      <c r="F56" s="1">
        <v>2017</v>
      </c>
    </row>
    <row r="57" spans="1:6" x14ac:dyDescent="0.2">
      <c r="A57" s="1" t="s">
        <v>170</v>
      </c>
      <c r="B57" s="1" t="s">
        <v>172</v>
      </c>
      <c r="C57" s="1">
        <v>2016</v>
      </c>
      <c r="D57" s="1" t="s">
        <v>571</v>
      </c>
      <c r="E57" s="1" t="s">
        <v>185</v>
      </c>
      <c r="F57" s="1">
        <v>2017</v>
      </c>
    </row>
    <row r="58" spans="1:6" x14ac:dyDescent="0.2">
      <c r="A58" s="1" t="s">
        <v>170</v>
      </c>
      <c r="B58" s="1" t="s">
        <v>172</v>
      </c>
      <c r="C58" s="1">
        <v>2016</v>
      </c>
      <c r="D58" s="1" t="s">
        <v>604</v>
      </c>
      <c r="E58" s="1" t="s">
        <v>186</v>
      </c>
      <c r="F58" s="1">
        <v>2018</v>
      </c>
    </row>
    <row r="59" spans="1:6" x14ac:dyDescent="0.2">
      <c r="A59" s="1" t="s">
        <v>170</v>
      </c>
      <c r="B59" s="1" t="s">
        <v>172</v>
      </c>
      <c r="C59" s="1">
        <v>2016</v>
      </c>
      <c r="D59" s="1" t="s">
        <v>572</v>
      </c>
      <c r="E59" s="1" t="s">
        <v>188</v>
      </c>
      <c r="F59" s="1">
        <v>2018</v>
      </c>
    </row>
    <row r="60" spans="1:6" x14ac:dyDescent="0.2">
      <c r="A60" s="1" t="s">
        <v>170</v>
      </c>
      <c r="B60" s="1" t="s">
        <v>172</v>
      </c>
      <c r="C60" s="1">
        <v>2016</v>
      </c>
      <c r="D60" s="1" t="s">
        <v>678</v>
      </c>
      <c r="E60" s="1" t="s">
        <v>187</v>
      </c>
      <c r="F60" s="1">
        <v>2019</v>
      </c>
    </row>
    <row r="61" spans="1:6" x14ac:dyDescent="0.2">
      <c r="A61" s="1" t="s">
        <v>170</v>
      </c>
      <c r="B61" s="1" t="s">
        <v>172</v>
      </c>
      <c r="C61" s="1">
        <v>2016</v>
      </c>
      <c r="D61" s="1" t="s">
        <v>605</v>
      </c>
      <c r="E61" s="1" t="s">
        <v>189</v>
      </c>
      <c r="F61" s="1">
        <v>2016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5"/>
  <sheetViews>
    <sheetView workbookViewId="0">
      <selection activeCell="N13" sqref="N13:O13"/>
    </sheetView>
  </sheetViews>
  <sheetFormatPr baseColWidth="10" defaultColWidth="8.83203125" defaultRowHeight="15" x14ac:dyDescent="0.2"/>
  <cols>
    <col min="1" max="16384" width="8.83203125" style="1"/>
  </cols>
  <sheetData>
    <row r="1" spans="1:21" x14ac:dyDescent="0.2">
      <c r="A1" s="2" t="s">
        <v>0</v>
      </c>
      <c r="B1" s="2" t="s">
        <v>27</v>
      </c>
      <c r="C1" s="2" t="s">
        <v>2</v>
      </c>
      <c r="D1" s="2" t="s">
        <v>4</v>
      </c>
      <c r="E1" s="2" t="s">
        <v>24</v>
      </c>
      <c r="F1" s="2" t="s">
        <v>9</v>
      </c>
      <c r="G1" s="4" t="s">
        <v>113</v>
      </c>
      <c r="H1" s="4" t="s">
        <v>162</v>
      </c>
      <c r="I1" s="2" t="s">
        <v>10</v>
      </c>
      <c r="J1" s="2" t="s">
        <v>11</v>
      </c>
      <c r="K1" s="2" t="s">
        <v>12</v>
      </c>
      <c r="L1" s="2" t="s">
        <v>13</v>
      </c>
      <c r="M1" s="2" t="s">
        <v>14</v>
      </c>
      <c r="N1" s="2" t="s">
        <v>15</v>
      </c>
      <c r="O1" s="2" t="s">
        <v>16</v>
      </c>
      <c r="P1" s="2" t="s">
        <v>17</v>
      </c>
      <c r="Q1" s="2" t="s">
        <v>18</v>
      </c>
      <c r="R1" s="2" t="s">
        <v>19</v>
      </c>
      <c r="S1" s="2" t="s">
        <v>20</v>
      </c>
      <c r="T1" s="2" t="s">
        <v>114</v>
      </c>
      <c r="U1" s="2" t="s">
        <v>85</v>
      </c>
    </row>
    <row r="2" spans="1:21" x14ac:dyDescent="0.2">
      <c r="A2" s="1" t="s">
        <v>170</v>
      </c>
      <c r="B2" s="1" t="s">
        <v>172</v>
      </c>
      <c r="C2" s="1">
        <v>1990</v>
      </c>
      <c r="D2" s="1">
        <v>1951</v>
      </c>
      <c r="E2" s="1" t="s">
        <v>173</v>
      </c>
      <c r="F2" s="1" t="s">
        <v>190</v>
      </c>
      <c r="G2" s="1" t="s">
        <v>236</v>
      </c>
      <c r="H2" s="1" t="s">
        <v>235</v>
      </c>
      <c r="I2" s="1" t="s">
        <v>191</v>
      </c>
      <c r="J2" s="1">
        <v>2038</v>
      </c>
      <c r="K2" s="1" t="s">
        <v>429</v>
      </c>
      <c r="N2" s="1">
        <v>4</v>
      </c>
      <c r="O2" s="1">
        <v>2</v>
      </c>
      <c r="P2" s="1" t="s">
        <v>284</v>
      </c>
      <c r="R2" s="1">
        <v>10046</v>
      </c>
      <c r="S2" s="1">
        <v>91</v>
      </c>
      <c r="U2" s="1" t="s">
        <v>192</v>
      </c>
    </row>
    <row r="3" spans="1:21" x14ac:dyDescent="0.2">
      <c r="A3" s="1" t="s">
        <v>170</v>
      </c>
      <c r="B3" s="1" t="s">
        <v>172</v>
      </c>
      <c r="C3" s="1">
        <v>1991</v>
      </c>
      <c r="D3" s="1">
        <v>1951</v>
      </c>
      <c r="E3" s="1" t="s">
        <v>281</v>
      </c>
      <c r="F3" s="1" t="s">
        <v>190</v>
      </c>
      <c r="G3" s="1" t="s">
        <v>552</v>
      </c>
      <c r="H3" s="1" t="s">
        <v>235</v>
      </c>
      <c r="I3" s="1" t="s">
        <v>191</v>
      </c>
      <c r="J3" s="1">
        <v>2021</v>
      </c>
      <c r="N3" s="1">
        <v>4</v>
      </c>
      <c r="O3" s="1">
        <v>1</v>
      </c>
      <c r="P3" s="1" t="s">
        <v>284</v>
      </c>
      <c r="R3" s="1">
        <v>17215</v>
      </c>
      <c r="S3" s="1">
        <v>103.96</v>
      </c>
      <c r="U3" s="1" t="s">
        <v>339</v>
      </c>
    </row>
    <row r="4" spans="1:21" x14ac:dyDescent="0.2">
      <c r="A4" s="1" t="s">
        <v>170</v>
      </c>
      <c r="B4" s="1" t="s">
        <v>172</v>
      </c>
      <c r="C4" s="1">
        <v>1995</v>
      </c>
      <c r="D4" s="1">
        <v>1951</v>
      </c>
      <c r="E4" s="1" t="s">
        <v>173</v>
      </c>
      <c r="F4" s="1" t="s">
        <v>190</v>
      </c>
      <c r="G4" s="1" t="s">
        <v>236</v>
      </c>
      <c r="H4" s="1" t="s">
        <v>287</v>
      </c>
      <c r="I4" s="1" t="s">
        <v>374</v>
      </c>
      <c r="J4" s="1">
        <v>2038</v>
      </c>
      <c r="N4" s="1">
        <v>5</v>
      </c>
      <c r="O4" s="1">
        <v>2</v>
      </c>
      <c r="P4" s="1" t="s">
        <v>284</v>
      </c>
      <c r="R4" s="1">
        <v>10600</v>
      </c>
    </row>
    <row r="5" spans="1:21" x14ac:dyDescent="0.2">
      <c r="A5" s="1" t="s">
        <v>170</v>
      </c>
      <c r="B5" s="1" t="s">
        <v>172</v>
      </c>
      <c r="C5" s="1">
        <v>1996</v>
      </c>
      <c r="D5" s="1">
        <v>1951</v>
      </c>
      <c r="E5" s="1" t="s">
        <v>281</v>
      </c>
      <c r="F5" s="1" t="s">
        <v>190</v>
      </c>
      <c r="G5" s="1" t="s">
        <v>552</v>
      </c>
      <c r="H5" s="1" t="s">
        <v>287</v>
      </c>
      <c r="I5" s="1" t="s">
        <v>374</v>
      </c>
      <c r="J5" s="1">
        <v>2021</v>
      </c>
      <c r="N5" s="1">
        <v>4</v>
      </c>
      <c r="O5" s="1">
        <v>1</v>
      </c>
      <c r="P5" s="1" t="s">
        <v>284</v>
      </c>
    </row>
    <row r="6" spans="1:21" x14ac:dyDescent="0.2">
      <c r="A6" s="1" t="s">
        <v>170</v>
      </c>
      <c r="B6" s="1" t="s">
        <v>172</v>
      </c>
      <c r="C6" s="1">
        <v>1998</v>
      </c>
      <c r="D6" s="1">
        <v>1951</v>
      </c>
      <c r="E6" s="1" t="s">
        <v>173</v>
      </c>
      <c r="F6" s="1" t="s">
        <v>190</v>
      </c>
      <c r="G6" s="1" t="s">
        <v>236</v>
      </c>
      <c r="H6" s="1" t="s">
        <v>287</v>
      </c>
      <c r="I6" s="1" t="s">
        <v>374</v>
      </c>
      <c r="J6" s="1">
        <v>2038</v>
      </c>
      <c r="K6" s="1" t="s">
        <v>429</v>
      </c>
      <c r="N6" s="1">
        <v>5</v>
      </c>
      <c r="O6" s="1">
        <v>2</v>
      </c>
      <c r="P6" s="1" t="s">
        <v>284</v>
      </c>
      <c r="R6" s="1">
        <v>11309</v>
      </c>
      <c r="S6" s="1">
        <v>91</v>
      </c>
      <c r="U6" s="1" t="s">
        <v>426</v>
      </c>
    </row>
    <row r="7" spans="1:21" x14ac:dyDescent="0.2">
      <c r="A7" s="1" t="s">
        <v>170</v>
      </c>
      <c r="B7" s="1" t="s">
        <v>172</v>
      </c>
      <c r="C7" s="1">
        <v>2003</v>
      </c>
      <c r="D7" s="1">
        <v>1951</v>
      </c>
      <c r="E7" s="1" t="s">
        <v>173</v>
      </c>
      <c r="F7" s="1" t="s">
        <v>190</v>
      </c>
      <c r="G7" s="1" t="s">
        <v>236</v>
      </c>
      <c r="H7" s="1" t="s">
        <v>287</v>
      </c>
      <c r="I7" s="1" t="s">
        <v>453</v>
      </c>
      <c r="J7" s="1">
        <v>2038</v>
      </c>
      <c r="K7" s="1" t="s">
        <v>429</v>
      </c>
      <c r="N7" s="1">
        <v>5</v>
      </c>
      <c r="O7" s="1">
        <v>2</v>
      </c>
      <c r="P7" s="1" t="s">
        <v>284</v>
      </c>
      <c r="S7" s="1">
        <v>91</v>
      </c>
    </row>
    <row r="8" spans="1:21" x14ac:dyDescent="0.2">
      <c r="A8" s="1" t="s">
        <v>170</v>
      </c>
      <c r="B8" s="1" t="s">
        <v>172</v>
      </c>
      <c r="C8" s="1">
        <v>2004</v>
      </c>
      <c r="D8" s="1">
        <v>1951</v>
      </c>
      <c r="E8" s="1" t="s">
        <v>173</v>
      </c>
      <c r="F8" s="1" t="s">
        <v>190</v>
      </c>
      <c r="G8" s="1" t="s">
        <v>236</v>
      </c>
      <c r="H8" s="1" t="s">
        <v>287</v>
      </c>
      <c r="I8" s="1" t="s">
        <v>453</v>
      </c>
      <c r="J8" s="1">
        <v>2038</v>
      </c>
      <c r="K8" s="1" t="s">
        <v>429</v>
      </c>
      <c r="N8" s="1">
        <v>5</v>
      </c>
      <c r="O8" s="1">
        <v>2</v>
      </c>
      <c r="P8" s="1" t="s">
        <v>284</v>
      </c>
      <c r="S8" s="1">
        <v>91</v>
      </c>
    </row>
    <row r="9" spans="1:21" x14ac:dyDescent="0.2">
      <c r="A9" s="1" t="s">
        <v>170</v>
      </c>
      <c r="B9" s="1" t="s">
        <v>172</v>
      </c>
      <c r="C9" s="1">
        <v>2005</v>
      </c>
      <c r="D9" s="1">
        <v>1951</v>
      </c>
      <c r="E9" s="1" t="s">
        <v>281</v>
      </c>
      <c r="F9" s="1" t="s">
        <v>190</v>
      </c>
      <c r="G9" s="1" t="s">
        <v>552</v>
      </c>
      <c r="H9" s="1" t="s">
        <v>287</v>
      </c>
      <c r="I9" s="1" t="s">
        <v>453</v>
      </c>
      <c r="J9" s="1">
        <v>2025</v>
      </c>
      <c r="K9" s="1" t="s">
        <v>547</v>
      </c>
      <c r="N9" s="1">
        <v>4</v>
      </c>
      <c r="O9" s="1">
        <v>1</v>
      </c>
      <c r="P9" s="1" t="s">
        <v>284</v>
      </c>
      <c r="R9" s="1">
        <v>17000</v>
      </c>
    </row>
    <row r="10" spans="1:21" x14ac:dyDescent="0.2">
      <c r="A10" s="1" t="s">
        <v>170</v>
      </c>
      <c r="B10" s="1" t="s">
        <v>172</v>
      </c>
      <c r="C10" s="1">
        <v>2005</v>
      </c>
      <c r="D10" s="1">
        <v>1951</v>
      </c>
      <c r="E10" s="1" t="s">
        <v>281</v>
      </c>
      <c r="F10" s="1" t="s">
        <v>190</v>
      </c>
      <c r="G10" s="1" t="s">
        <v>552</v>
      </c>
      <c r="H10" s="1" t="s">
        <v>287</v>
      </c>
      <c r="I10" s="1" t="s">
        <v>541</v>
      </c>
      <c r="J10" s="1">
        <v>2025</v>
      </c>
      <c r="K10" s="1" t="s">
        <v>548</v>
      </c>
      <c r="N10" s="1">
        <v>4</v>
      </c>
      <c r="O10" s="1">
        <v>1</v>
      </c>
      <c r="P10" s="1" t="s">
        <v>284</v>
      </c>
      <c r="R10" s="1">
        <v>17000</v>
      </c>
    </row>
    <row r="11" spans="1:21" x14ac:dyDescent="0.2">
      <c r="A11" s="1" t="s">
        <v>170</v>
      </c>
      <c r="B11" s="1" t="s">
        <v>172</v>
      </c>
      <c r="C11" s="1">
        <v>2009</v>
      </c>
      <c r="D11" s="1">
        <v>1951</v>
      </c>
      <c r="E11" s="1" t="s">
        <v>173</v>
      </c>
      <c r="F11" s="1" t="s">
        <v>190</v>
      </c>
      <c r="G11" s="1" t="s">
        <v>236</v>
      </c>
      <c r="H11" s="1" t="s">
        <v>287</v>
      </c>
      <c r="I11" s="1" t="s">
        <v>573</v>
      </c>
      <c r="J11" s="1">
        <v>2038</v>
      </c>
      <c r="K11" s="1">
        <v>166000</v>
      </c>
      <c r="N11" s="1">
        <v>6</v>
      </c>
      <c r="O11" s="1">
        <v>3</v>
      </c>
      <c r="P11" s="1" t="s">
        <v>284</v>
      </c>
      <c r="S11" s="1">
        <v>91</v>
      </c>
      <c r="U11" s="1" t="s">
        <v>661</v>
      </c>
    </row>
    <row r="12" spans="1:21" x14ac:dyDescent="0.2">
      <c r="A12" s="1" t="s">
        <v>170</v>
      </c>
      <c r="B12" s="1" t="s">
        <v>172</v>
      </c>
      <c r="C12" s="1">
        <v>2012</v>
      </c>
      <c r="D12" s="1">
        <v>1951</v>
      </c>
      <c r="E12" s="1" t="s">
        <v>281</v>
      </c>
      <c r="F12" s="1" t="s">
        <v>190</v>
      </c>
      <c r="G12" s="1" t="s">
        <v>552</v>
      </c>
      <c r="H12" s="1" t="s">
        <v>287</v>
      </c>
      <c r="I12" s="1" t="s">
        <v>573</v>
      </c>
      <c r="J12" s="1">
        <v>2025</v>
      </c>
      <c r="K12" s="1">
        <v>3067385</v>
      </c>
      <c r="L12" s="1">
        <v>119</v>
      </c>
      <c r="N12" s="1">
        <v>4</v>
      </c>
      <c r="O12" s="1">
        <v>1</v>
      </c>
      <c r="P12" s="1" t="s">
        <v>284</v>
      </c>
      <c r="R12" s="1">
        <v>14000</v>
      </c>
    </row>
    <row r="13" spans="1:21" x14ac:dyDescent="0.2">
      <c r="A13" s="1" t="s">
        <v>170</v>
      </c>
      <c r="B13" s="1" t="s">
        <v>172</v>
      </c>
      <c r="C13" s="1">
        <v>2012</v>
      </c>
      <c r="D13" s="1">
        <v>1951</v>
      </c>
      <c r="E13" s="1" t="s">
        <v>173</v>
      </c>
      <c r="F13" s="1" t="s">
        <v>190</v>
      </c>
      <c r="G13" s="1" t="s">
        <v>236</v>
      </c>
      <c r="H13" s="1" t="s">
        <v>287</v>
      </c>
      <c r="I13" s="1" t="s">
        <v>573</v>
      </c>
      <c r="J13" s="1">
        <v>2038</v>
      </c>
      <c r="K13" s="1">
        <v>394237</v>
      </c>
      <c r="N13" s="1">
        <v>6</v>
      </c>
      <c r="O13" s="1">
        <v>3</v>
      </c>
      <c r="P13" s="1" t="s">
        <v>284</v>
      </c>
    </row>
    <row r="14" spans="1:21" x14ac:dyDescent="0.2">
      <c r="A14" s="1" t="s">
        <v>170</v>
      </c>
      <c r="B14" s="1" t="s">
        <v>172</v>
      </c>
      <c r="C14" s="1">
        <v>2012</v>
      </c>
      <c r="D14" s="1">
        <v>1951</v>
      </c>
      <c r="E14" s="1" t="s">
        <v>281</v>
      </c>
      <c r="F14" s="1" t="s">
        <v>190</v>
      </c>
      <c r="G14" s="1" t="s">
        <v>552</v>
      </c>
      <c r="H14" s="1" t="s">
        <v>287</v>
      </c>
      <c r="J14" s="1">
        <v>2025</v>
      </c>
      <c r="K14" s="1">
        <v>3062306</v>
      </c>
      <c r="N14" s="1">
        <v>4</v>
      </c>
      <c r="O14" s="1">
        <v>1</v>
      </c>
      <c r="P14" s="1" t="s">
        <v>284</v>
      </c>
    </row>
    <row r="15" spans="1:21" x14ac:dyDescent="0.2">
      <c r="A15" s="1" t="s">
        <v>170</v>
      </c>
      <c r="B15" s="1" t="s">
        <v>172</v>
      </c>
      <c r="C15" s="1">
        <v>2012</v>
      </c>
      <c r="D15" s="1">
        <v>1951</v>
      </c>
      <c r="E15" s="1" t="s">
        <v>173</v>
      </c>
      <c r="F15" s="1" t="s">
        <v>190</v>
      </c>
      <c r="G15" s="1" t="s">
        <v>236</v>
      </c>
      <c r="H15" s="1" t="s">
        <v>287</v>
      </c>
      <c r="J15" s="1">
        <v>2038</v>
      </c>
      <c r="N15" s="1">
        <v>6</v>
      </c>
      <c r="O15" s="1">
        <v>3</v>
      </c>
      <c r="P15" s="1"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lpstr>financialIndicators</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Microsoft Office User</cp:lastModifiedBy>
  <dcterms:created xsi:type="dcterms:W3CDTF">2019-08-01T16:52:11Z</dcterms:created>
  <dcterms:modified xsi:type="dcterms:W3CDTF">2020-02-02T18:05:44Z</dcterms:modified>
</cp:coreProperties>
</file>