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325"/>
  <workbookPr/>
  <mc:AlternateContent xmlns:mc="http://schemas.openxmlformats.org/markup-compatibility/2006">
    <mc:Choice Requires="x15">
      <x15ac:absPath xmlns:x15ac="http://schemas.microsoft.com/office/spreadsheetml/2010/11/ac" url="C:\Users\19524\Box\Shrinking Cities MP\data\bond_data\"/>
    </mc:Choice>
  </mc:AlternateContent>
  <xr:revisionPtr revIDLastSave="0" documentId="13_ncr:1_{B433B38D-2F28-46AE-BE9D-282759D528D0}" xr6:coauthVersionLast="45" xr6:coauthVersionMax="45" xr10:uidLastSave="{00000000-0000-0000-0000-000000000000}"/>
  <bookViews>
    <workbookView xWindow="-108" yWindow="-108" windowWidth="23256" windowHeight="12576" firstSheet="11" activeTab="20" xr2:uid="{00000000-000D-0000-FFFF-FFFF00000000}"/>
  </bookViews>
  <sheets>
    <sheet name="Notes" sheetId="17" r:id="rId1"/>
    <sheet name="basicInfo" sheetId="1" r:id="rId2"/>
    <sheet name="maturitySched" sheetId="2" r:id="rId3"/>
    <sheet name="bondPurpose" sheetId="5" r:id="rId4"/>
    <sheet name="otherDebt" sheetId="3" r:id="rId5"/>
    <sheet name="longTerm" sheetId="18" r:id="rId6"/>
    <sheet name="debtService" sheetId="4" r:id="rId7"/>
    <sheet name="board" sheetId="6" r:id="rId8"/>
    <sheet name="utilityInfo" sheetId="7" r:id="rId9"/>
    <sheet name="serviceArea" sheetId="8" r:id="rId10"/>
    <sheet name="interconnect" sheetId="9" r:id="rId11"/>
    <sheet name="source" sheetId="11" r:id="rId12"/>
    <sheet name="customers" sheetId="10" r:id="rId13"/>
    <sheet name="usage" sheetId="12" r:id="rId14"/>
    <sheet name="unaccounted" sheetId="13" r:id="rId15"/>
    <sheet name="largestCust" sheetId="14" r:id="rId16"/>
    <sheet name="rates" sheetId="19" r:id="rId17"/>
    <sheet name="fiscal" sheetId="16" r:id="rId18"/>
    <sheet name="Assets" sheetId="20" r:id="rId19"/>
    <sheet name="revCollect" sheetId="15" r:id="rId20"/>
    <sheet name="financialIndicators" sheetId="21" r:id="rId2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23" i="21" l="1"/>
  <c r="G23" i="21"/>
  <c r="H23" i="21"/>
  <c r="I23" i="21"/>
  <c r="J23" i="21"/>
  <c r="K23" i="21"/>
  <c r="L23" i="21"/>
  <c r="M23" i="21"/>
  <c r="N23" i="21"/>
  <c r="O23" i="21"/>
  <c r="P23" i="21"/>
  <c r="Q23" i="21"/>
  <c r="R23" i="21"/>
  <c r="S23" i="21"/>
  <c r="T23" i="21"/>
  <c r="U23" i="21"/>
  <c r="V23" i="21"/>
  <c r="W23" i="21"/>
  <c r="X23" i="21"/>
  <c r="Y23" i="21"/>
  <c r="Z23" i="21"/>
  <c r="AA23" i="21"/>
  <c r="AB23" i="21"/>
  <c r="AC23" i="21"/>
  <c r="AD23" i="21"/>
  <c r="AE23" i="21"/>
  <c r="AF23" i="21"/>
  <c r="AG23" i="21"/>
  <c r="AH23" i="21"/>
  <c r="AI23" i="21"/>
  <c r="AJ23" i="21"/>
  <c r="AK23" i="21"/>
  <c r="E23" i="21"/>
  <c r="AB20" i="21"/>
  <c r="F20" i="21"/>
  <c r="G20" i="21"/>
  <c r="H20" i="21"/>
  <c r="I20" i="21"/>
  <c r="J20" i="21"/>
  <c r="K20" i="21"/>
  <c r="L20" i="21"/>
  <c r="M20" i="21"/>
  <c r="N20" i="21"/>
  <c r="O20" i="21"/>
  <c r="P20" i="21"/>
  <c r="Q20" i="21"/>
  <c r="R20" i="21"/>
  <c r="S20" i="21"/>
  <c r="T20" i="21"/>
  <c r="U20" i="21"/>
  <c r="V20" i="21"/>
  <c r="W20" i="21"/>
  <c r="X20" i="21"/>
  <c r="Y20" i="21"/>
  <c r="Z20" i="21"/>
  <c r="AA20" i="21"/>
  <c r="AC20" i="21"/>
  <c r="AD20" i="21"/>
  <c r="AE20" i="21"/>
  <c r="AF20" i="21"/>
  <c r="AG20" i="21"/>
  <c r="AH20" i="21"/>
  <c r="AI20" i="21"/>
  <c r="AJ20" i="21"/>
  <c r="AK20" i="21"/>
  <c r="E20" i="21"/>
  <c r="AI14" i="21"/>
  <c r="E14" i="21"/>
  <c r="E25" i="21" s="1"/>
  <c r="E26" i="21" s="1"/>
  <c r="F14" i="21"/>
  <c r="F25" i="21" s="1"/>
  <c r="F26" i="21" s="1"/>
  <c r="G14" i="21"/>
  <c r="G26" i="21" s="1"/>
  <c r="F17" i="21"/>
  <c r="G17" i="21"/>
  <c r="H17" i="21"/>
  <c r="I17" i="21"/>
  <c r="J17" i="21"/>
  <c r="K17" i="21"/>
  <c r="L17" i="21"/>
  <c r="M17" i="21"/>
  <c r="N17" i="21"/>
  <c r="O17" i="21"/>
  <c r="P17" i="21"/>
  <c r="Q17" i="21"/>
  <c r="R17" i="21"/>
  <c r="S17" i="21"/>
  <c r="T17" i="21"/>
  <c r="U17" i="21"/>
  <c r="V17" i="21"/>
  <c r="W17" i="21"/>
  <c r="X17" i="21"/>
  <c r="Y17" i="21"/>
  <c r="Z17" i="21"/>
  <c r="AA17" i="21"/>
  <c r="AB17" i="21"/>
  <c r="AC17" i="21"/>
  <c r="AD17" i="21"/>
  <c r="AE17" i="21"/>
  <c r="AF17" i="21"/>
  <c r="AG17" i="21"/>
  <c r="AH17" i="21"/>
  <c r="AI17" i="21"/>
  <c r="AJ17" i="21"/>
  <c r="AK17" i="21"/>
  <c r="F18" i="21"/>
  <c r="G18" i="21"/>
  <c r="H18" i="21"/>
  <c r="I18" i="21"/>
  <c r="J18" i="21"/>
  <c r="K18" i="21"/>
  <c r="L18" i="21"/>
  <c r="M18" i="21"/>
  <c r="N18" i="21"/>
  <c r="O18" i="21"/>
  <c r="P18" i="21"/>
  <c r="Q18" i="21"/>
  <c r="R18" i="21"/>
  <c r="S18" i="21"/>
  <c r="T18" i="21"/>
  <c r="U18" i="21"/>
  <c r="V18" i="21"/>
  <c r="W18" i="21"/>
  <c r="X18" i="21"/>
  <c r="Y18" i="21"/>
  <c r="Z18" i="21"/>
  <c r="AA18" i="21"/>
  <c r="AB18" i="21"/>
  <c r="AC18" i="21"/>
  <c r="AD18" i="21"/>
  <c r="AE18" i="21"/>
  <c r="AF18" i="21"/>
  <c r="AG18" i="21"/>
  <c r="AH18" i="21"/>
  <c r="AI18" i="21"/>
  <c r="AJ18" i="21"/>
  <c r="AK18" i="21"/>
  <c r="F19" i="21"/>
  <c r="G19" i="21"/>
  <c r="H19" i="21"/>
  <c r="I19" i="21"/>
  <c r="J19" i="21"/>
  <c r="K19" i="21"/>
  <c r="L19" i="21"/>
  <c r="M19" i="21"/>
  <c r="N19" i="21"/>
  <c r="O19" i="21"/>
  <c r="P19" i="21"/>
  <c r="Q19" i="21"/>
  <c r="R19" i="21"/>
  <c r="S19" i="21"/>
  <c r="T19" i="21"/>
  <c r="U19" i="21"/>
  <c r="V19" i="21"/>
  <c r="W19" i="21"/>
  <c r="X19" i="21"/>
  <c r="Y19" i="21"/>
  <c r="Z19" i="21"/>
  <c r="AA19" i="21"/>
  <c r="AB19" i="21"/>
  <c r="AC19" i="21"/>
  <c r="AD19" i="21"/>
  <c r="AE19" i="21"/>
  <c r="AF19" i="21"/>
  <c r="AG19" i="21"/>
  <c r="AH19" i="21"/>
  <c r="AI19" i="21"/>
  <c r="AJ19" i="21"/>
  <c r="AK19" i="21"/>
  <c r="F21" i="21"/>
  <c r="G21" i="21"/>
  <c r="H21" i="21"/>
  <c r="I21" i="21"/>
  <c r="J21" i="21"/>
  <c r="K21" i="21"/>
  <c r="L21" i="21"/>
  <c r="M21" i="21"/>
  <c r="N21" i="21"/>
  <c r="O21" i="21"/>
  <c r="P21" i="21"/>
  <c r="Q21" i="21"/>
  <c r="R21" i="21"/>
  <c r="S21" i="21"/>
  <c r="T21" i="21"/>
  <c r="U21" i="21"/>
  <c r="V21" i="21"/>
  <c r="W21" i="21"/>
  <c r="X21" i="21"/>
  <c r="Y21" i="21"/>
  <c r="Z21" i="21"/>
  <c r="AA21" i="21"/>
  <c r="AB21" i="21"/>
  <c r="AC21" i="21"/>
  <c r="AD21" i="21"/>
  <c r="AE21" i="21"/>
  <c r="AF21" i="21"/>
  <c r="AG21" i="21"/>
  <c r="AH21" i="21"/>
  <c r="AI21" i="21"/>
  <c r="AJ21" i="21"/>
  <c r="AK21" i="21"/>
  <c r="F22" i="21"/>
  <c r="G22" i="21"/>
  <c r="H22" i="21"/>
  <c r="I22" i="21"/>
  <c r="J22" i="21"/>
  <c r="K22" i="21"/>
  <c r="L22" i="21"/>
  <c r="M22" i="21"/>
  <c r="N22" i="21"/>
  <c r="O22" i="21"/>
  <c r="P22" i="21"/>
  <c r="Q22" i="21"/>
  <c r="R22" i="21"/>
  <c r="S22" i="21"/>
  <c r="T22" i="21"/>
  <c r="U22" i="21"/>
  <c r="V22" i="21"/>
  <c r="W22" i="21"/>
  <c r="X22" i="21"/>
  <c r="Y22" i="21"/>
  <c r="Z22" i="21"/>
  <c r="AA22" i="21"/>
  <c r="AB22" i="21"/>
  <c r="AC22" i="21"/>
  <c r="AD22" i="21"/>
  <c r="AE22" i="21"/>
  <c r="AF22" i="21"/>
  <c r="AG22" i="21"/>
  <c r="AH22" i="21"/>
  <c r="AI22" i="21"/>
  <c r="AJ22" i="21"/>
  <c r="AK22" i="21"/>
  <c r="F24" i="21"/>
  <c r="G24" i="21"/>
  <c r="H24" i="21"/>
  <c r="I24" i="21"/>
  <c r="J24" i="21"/>
  <c r="K24" i="21"/>
  <c r="L24" i="21"/>
  <c r="M24" i="21"/>
  <c r="N24" i="21"/>
  <c r="O24" i="21"/>
  <c r="P24" i="21"/>
  <c r="Q24" i="21"/>
  <c r="R24" i="21"/>
  <c r="S24" i="21"/>
  <c r="T24" i="21"/>
  <c r="U24" i="21"/>
  <c r="V24" i="21"/>
  <c r="W24" i="21"/>
  <c r="X24" i="21"/>
  <c r="Y24" i="21"/>
  <c r="Z24" i="21"/>
  <c r="AA24" i="21"/>
  <c r="AB24" i="21"/>
  <c r="AC24" i="21"/>
  <c r="AD24" i="21"/>
  <c r="AE24" i="21"/>
  <c r="AF24" i="21"/>
  <c r="AG24" i="21"/>
  <c r="AH24" i="21"/>
  <c r="AI24" i="21"/>
  <c r="AJ24" i="21"/>
  <c r="AK24" i="21"/>
  <c r="H25" i="21"/>
  <c r="I25" i="21"/>
  <c r="J25" i="21"/>
  <c r="K25" i="21"/>
  <c r="L25" i="21"/>
  <c r="M25" i="21"/>
  <c r="N25" i="21"/>
  <c r="O25" i="21"/>
  <c r="P25" i="21"/>
  <c r="Q25" i="21"/>
  <c r="R25" i="21"/>
  <c r="S25" i="21"/>
  <c r="T25" i="21"/>
  <c r="V25" i="21"/>
  <c r="W25" i="21"/>
  <c r="X25" i="21"/>
  <c r="Y25" i="21"/>
  <c r="Z25" i="21"/>
  <c r="AA25" i="21"/>
  <c r="AB25" i="21"/>
  <c r="AC25" i="21"/>
  <c r="AD25" i="21"/>
  <c r="AE25" i="21"/>
  <c r="AF25" i="21"/>
  <c r="AG25" i="21"/>
  <c r="AI25" i="21"/>
  <c r="AJ25" i="21"/>
  <c r="AK25" i="21"/>
  <c r="AK26" i="21" s="1"/>
  <c r="H26" i="21"/>
  <c r="I26" i="21"/>
  <c r="J26" i="21"/>
  <c r="K26" i="21"/>
  <c r="L26" i="21"/>
  <c r="M26" i="21"/>
  <c r="N26" i="21"/>
  <c r="O26" i="21"/>
  <c r="P26" i="21"/>
  <c r="Q26" i="21"/>
  <c r="R26" i="21"/>
  <c r="S26" i="21"/>
  <c r="T26" i="21"/>
  <c r="U26" i="21"/>
  <c r="V26" i="21"/>
  <c r="W26" i="21"/>
  <c r="X26" i="21"/>
  <c r="Y26" i="21"/>
  <c r="Z26" i="21"/>
  <c r="AA26" i="21"/>
  <c r="AB26" i="21"/>
  <c r="AC26" i="21"/>
  <c r="AD26" i="21"/>
  <c r="AE26" i="21"/>
  <c r="AF26" i="21"/>
  <c r="AG26" i="21"/>
  <c r="AH26" i="21"/>
  <c r="AI26" i="21"/>
  <c r="AJ26" i="21"/>
  <c r="I14" i="21"/>
  <c r="J14" i="21"/>
  <c r="K14" i="21"/>
  <c r="L14" i="21"/>
  <c r="M14" i="21"/>
  <c r="N14" i="21"/>
  <c r="O14" i="21"/>
  <c r="P14" i="21"/>
  <c r="Q14" i="21"/>
  <c r="R14" i="21"/>
  <c r="S14" i="21"/>
  <c r="T14" i="21"/>
  <c r="U14" i="21"/>
  <c r="V14" i="21"/>
  <c r="W14" i="21"/>
  <c r="X14" i="21"/>
  <c r="Y14" i="21"/>
  <c r="Z14" i="21"/>
  <c r="AA14" i="21"/>
  <c r="AB14" i="21"/>
  <c r="AC14" i="21"/>
  <c r="AD14" i="21"/>
  <c r="AE14" i="21"/>
  <c r="AF14" i="21"/>
  <c r="AG14" i="21"/>
  <c r="AH14" i="21"/>
  <c r="AJ14" i="21"/>
  <c r="AK14" i="21"/>
  <c r="H14" i="21"/>
  <c r="E24" i="21"/>
  <c r="E22" i="21"/>
  <c r="E21" i="21"/>
  <c r="E19" i="21"/>
  <c r="E18" i="21"/>
  <c r="E17" i="21"/>
  <c r="AH11" i="21" l="1"/>
  <c r="H3" i="21"/>
  <c r="I3" i="21"/>
  <c r="J3" i="21"/>
  <c r="K3" i="21"/>
  <c r="L3" i="21"/>
  <c r="M3" i="21"/>
  <c r="N3" i="21"/>
  <c r="O3" i="21"/>
  <c r="P3" i="21"/>
  <c r="Q3" i="21"/>
  <c r="R3" i="21"/>
  <c r="S3" i="21"/>
  <c r="T3" i="21"/>
  <c r="U3" i="21"/>
  <c r="V3" i="21"/>
  <c r="W3" i="21"/>
  <c r="X3" i="21"/>
  <c r="Y3" i="21"/>
  <c r="Z3" i="21"/>
  <c r="AA3" i="21"/>
  <c r="AB3" i="21"/>
  <c r="AC3" i="21"/>
  <c r="AD3" i="21"/>
  <c r="AE3" i="21"/>
  <c r="AF3" i="21"/>
  <c r="AG3" i="21"/>
  <c r="AH3" i="21"/>
  <c r="AI3" i="21"/>
  <c r="AJ3" i="21"/>
  <c r="AK3" i="21"/>
  <c r="H4" i="21"/>
  <c r="I4" i="21"/>
  <c r="J4" i="21"/>
  <c r="K4" i="21"/>
  <c r="L4" i="21"/>
  <c r="M4" i="21"/>
  <c r="N4" i="21"/>
  <c r="O4" i="21"/>
  <c r="P4" i="21"/>
  <c r="Q4" i="21"/>
  <c r="R4" i="21"/>
  <c r="S4" i="21"/>
  <c r="T4" i="21"/>
  <c r="U4" i="21"/>
  <c r="V4" i="21"/>
  <c r="W4" i="21"/>
  <c r="X4" i="21"/>
  <c r="Y4" i="21"/>
  <c r="Z4" i="21"/>
  <c r="AA4" i="21"/>
  <c r="AB4" i="21"/>
  <c r="AC4" i="21"/>
  <c r="AD4" i="21"/>
  <c r="AE4" i="21"/>
  <c r="AF4" i="21"/>
  <c r="AG4" i="21"/>
  <c r="AH4" i="21"/>
  <c r="AI4" i="21"/>
  <c r="AJ4" i="21"/>
  <c r="AK4" i="21"/>
  <c r="H5" i="21"/>
  <c r="I5" i="21"/>
  <c r="J5" i="21"/>
  <c r="K5" i="21"/>
  <c r="L5" i="21"/>
  <c r="M5" i="21"/>
  <c r="N5" i="21"/>
  <c r="O5" i="21"/>
  <c r="P5" i="21"/>
  <c r="Q5" i="21"/>
  <c r="R5" i="21"/>
  <c r="S5" i="21"/>
  <c r="T5" i="21"/>
  <c r="U5" i="21"/>
  <c r="V5" i="21"/>
  <c r="W5" i="21"/>
  <c r="X5" i="21"/>
  <c r="Y5" i="21"/>
  <c r="Z5" i="21"/>
  <c r="AA5" i="21"/>
  <c r="AB5" i="21"/>
  <c r="AC5" i="21"/>
  <c r="AD5" i="21"/>
  <c r="AE5" i="21"/>
  <c r="AF5" i="21"/>
  <c r="AG5" i="21"/>
  <c r="AH5" i="21"/>
  <c r="AI5" i="21"/>
  <c r="AJ5" i="21"/>
  <c r="AK5" i="21"/>
  <c r="H7" i="21"/>
  <c r="I7" i="21"/>
  <c r="J7" i="21"/>
  <c r="K7" i="21"/>
  <c r="L7" i="21"/>
  <c r="M7" i="21"/>
  <c r="N7" i="21"/>
  <c r="O7" i="21"/>
  <c r="P7" i="21"/>
  <c r="Q7" i="21"/>
  <c r="R7" i="21"/>
  <c r="S7" i="21"/>
  <c r="T7" i="21"/>
  <c r="U7" i="21"/>
  <c r="V7" i="21"/>
  <c r="W7" i="21"/>
  <c r="X7" i="21"/>
  <c r="Y7" i="21"/>
  <c r="Z7" i="21"/>
  <c r="AA7" i="21"/>
  <c r="AB7" i="21"/>
  <c r="AC7" i="21"/>
  <c r="AD7" i="21"/>
  <c r="AE7" i="21"/>
  <c r="AF7" i="21"/>
  <c r="AG7" i="21"/>
  <c r="AH7" i="21"/>
  <c r="AI7" i="21"/>
  <c r="AJ7" i="21"/>
  <c r="AK7" i="21"/>
  <c r="H8" i="21"/>
  <c r="I8" i="21"/>
  <c r="J8" i="21"/>
  <c r="K8" i="21"/>
  <c r="L8" i="21"/>
  <c r="M8" i="21"/>
  <c r="N8" i="21"/>
  <c r="O8" i="21"/>
  <c r="P8" i="21"/>
  <c r="Q8" i="21"/>
  <c r="R8" i="21"/>
  <c r="S8" i="21"/>
  <c r="T8" i="21"/>
  <c r="U8" i="21"/>
  <c r="V8" i="21"/>
  <c r="W8" i="21"/>
  <c r="X8" i="21"/>
  <c r="Y8" i="21"/>
  <c r="Z8" i="21"/>
  <c r="AA8" i="21"/>
  <c r="AB8" i="21"/>
  <c r="AC8" i="21"/>
  <c r="AD8" i="21"/>
  <c r="AE8" i="21"/>
  <c r="AF8" i="21"/>
  <c r="AG8" i="21"/>
  <c r="AH8" i="21"/>
  <c r="AI8" i="21"/>
  <c r="AJ8" i="21"/>
  <c r="AK8" i="21"/>
  <c r="H9" i="21"/>
  <c r="I9" i="21"/>
  <c r="J9" i="21"/>
  <c r="K9" i="21"/>
  <c r="L9" i="21"/>
  <c r="M9" i="21"/>
  <c r="N9" i="21"/>
  <c r="O9" i="21"/>
  <c r="P9" i="21"/>
  <c r="Q9" i="21"/>
  <c r="R9" i="21"/>
  <c r="S9" i="21"/>
  <c r="T9" i="21"/>
  <c r="U9" i="21"/>
  <c r="V9" i="21"/>
  <c r="W9" i="21"/>
  <c r="X9" i="21"/>
  <c r="Y9" i="21"/>
  <c r="Z9" i="21"/>
  <c r="AA9" i="21"/>
  <c r="AB9" i="21"/>
  <c r="AC9" i="21"/>
  <c r="AD9" i="21"/>
  <c r="AE9" i="21"/>
  <c r="AF9" i="21"/>
  <c r="AG9" i="21"/>
  <c r="AH9" i="21"/>
  <c r="AI9" i="21"/>
  <c r="AJ9" i="21"/>
  <c r="AK9" i="21"/>
  <c r="H11" i="21"/>
  <c r="I11" i="21"/>
  <c r="J11" i="21"/>
  <c r="K11" i="21"/>
  <c r="L11" i="21"/>
  <c r="M11" i="21"/>
  <c r="N11" i="21"/>
  <c r="O11" i="21"/>
  <c r="P11" i="21"/>
  <c r="Q11" i="21"/>
  <c r="R11" i="21"/>
  <c r="S11" i="21"/>
  <c r="T11" i="21"/>
  <c r="U11" i="21"/>
  <c r="V11" i="21"/>
  <c r="W11" i="21"/>
  <c r="X11" i="21"/>
  <c r="Y11" i="21"/>
  <c r="Z11" i="21"/>
  <c r="AA11" i="21"/>
  <c r="AB11" i="21"/>
  <c r="AC11" i="21"/>
  <c r="AD11" i="21"/>
  <c r="AE11" i="21"/>
  <c r="AF11" i="21"/>
  <c r="AG11" i="21"/>
  <c r="AI11" i="21"/>
  <c r="AJ11" i="21"/>
  <c r="AK11" i="21"/>
  <c r="H12" i="21"/>
  <c r="I12" i="21"/>
  <c r="J12" i="21"/>
  <c r="K12" i="21"/>
  <c r="L12" i="21"/>
  <c r="M12" i="21"/>
  <c r="N12" i="21"/>
  <c r="O12" i="21"/>
  <c r="P12" i="21"/>
  <c r="Q12" i="21"/>
  <c r="R12" i="21"/>
  <c r="S12" i="21"/>
  <c r="T12" i="21"/>
  <c r="U12" i="21"/>
  <c r="V12" i="21"/>
  <c r="W12" i="21"/>
  <c r="X12" i="21"/>
  <c r="Y12" i="21"/>
  <c r="Z12" i="21"/>
  <c r="AA12" i="21"/>
  <c r="AB12" i="21"/>
  <c r="AC12" i="21"/>
  <c r="AD12" i="21"/>
  <c r="AE12" i="21"/>
  <c r="AF12" i="21"/>
  <c r="AG12" i="21"/>
  <c r="AH12" i="21"/>
  <c r="AI12" i="21"/>
  <c r="AJ12" i="21"/>
  <c r="AK12" i="21"/>
  <c r="H13" i="21"/>
  <c r="I13" i="21"/>
  <c r="J13" i="21"/>
  <c r="K13" i="21"/>
  <c r="L13" i="21"/>
  <c r="M13" i="21"/>
  <c r="N13" i="21"/>
  <c r="O13" i="21"/>
  <c r="P13" i="21"/>
  <c r="Q13" i="21"/>
  <c r="R13" i="21"/>
  <c r="S13" i="21"/>
  <c r="T13" i="21"/>
  <c r="U13" i="21"/>
  <c r="V13" i="21"/>
  <c r="W13" i="21"/>
  <c r="X13" i="21"/>
  <c r="Y13" i="21"/>
  <c r="Z13" i="21"/>
  <c r="AA13" i="21"/>
  <c r="AB13" i="21"/>
  <c r="AC13" i="21"/>
  <c r="AD13" i="21"/>
  <c r="AE13" i="21"/>
  <c r="AF13" i="21"/>
  <c r="AG13" i="21"/>
  <c r="AH13" i="21"/>
  <c r="AI13" i="21"/>
  <c r="AJ13" i="21"/>
  <c r="AK13" i="21"/>
  <c r="G13" i="21"/>
  <c r="G12" i="21"/>
  <c r="G11" i="21"/>
  <c r="G9" i="21"/>
  <c r="G8" i="21"/>
  <c r="G7" i="21"/>
  <c r="G5" i="21"/>
  <c r="G4" i="21"/>
  <c r="H2" i="21"/>
  <c r="I2" i="21"/>
  <c r="J2" i="21"/>
  <c r="K2" i="21"/>
  <c r="L2" i="21"/>
  <c r="M2" i="21"/>
  <c r="N2" i="21"/>
  <c r="O2" i="21"/>
  <c r="P2" i="21"/>
  <c r="Q2" i="21"/>
  <c r="R2" i="21"/>
  <c r="S2" i="21"/>
  <c r="T2" i="21"/>
  <c r="U2" i="21"/>
  <c r="V2" i="21"/>
  <c r="W2" i="21"/>
  <c r="X2" i="21"/>
  <c r="Y2" i="21"/>
  <c r="Z2" i="21"/>
  <c r="AA2" i="21"/>
  <c r="AB2" i="21"/>
  <c r="AC2" i="21"/>
  <c r="AD2" i="21"/>
  <c r="AE2" i="21"/>
  <c r="AF2" i="21"/>
  <c r="AG2" i="21"/>
  <c r="AH2" i="21"/>
  <c r="AI2" i="21"/>
  <c r="AJ2" i="21"/>
  <c r="AK2" i="21"/>
  <c r="G2" i="21"/>
  <c r="G3" i="21"/>
  <c r="A49" i="20" l="1"/>
  <c r="A45" i="20"/>
  <c r="AG11" i="20"/>
  <c r="A48" i="20"/>
  <c r="A47" i="20"/>
  <c r="A22" i="20"/>
  <c r="AF11" i="20"/>
  <c r="AI56" i="20"/>
  <c r="AH56" i="20"/>
  <c r="AG56" i="20"/>
  <c r="AF56" i="20"/>
  <c r="AE56" i="20"/>
  <c r="AD56" i="20"/>
  <c r="AC56" i="20"/>
  <c r="AB56" i="20"/>
  <c r="AA56" i="20"/>
  <c r="Z56" i="20"/>
  <c r="Y56" i="20"/>
  <c r="X56" i="20"/>
  <c r="W56" i="20"/>
  <c r="V56" i="20"/>
  <c r="U56" i="20"/>
  <c r="T56" i="20"/>
  <c r="S56" i="20"/>
  <c r="R56" i="20"/>
  <c r="Q56" i="20"/>
  <c r="P56" i="20"/>
  <c r="O56" i="20"/>
  <c r="N56" i="20"/>
  <c r="M56" i="20"/>
  <c r="L56" i="20"/>
  <c r="K56" i="20"/>
  <c r="J56" i="20"/>
  <c r="I56" i="20"/>
  <c r="H56" i="20"/>
  <c r="G56" i="20"/>
  <c r="F56" i="20"/>
  <c r="E56" i="20"/>
  <c r="AI41" i="20"/>
  <c r="AH41" i="20"/>
  <c r="AG41" i="20"/>
  <c r="AF41" i="20"/>
  <c r="AE41" i="20"/>
  <c r="AD41" i="20"/>
  <c r="AC41" i="20"/>
  <c r="AB41" i="20"/>
  <c r="AA41" i="20"/>
  <c r="Z41" i="20"/>
  <c r="Y41" i="20"/>
  <c r="X41" i="20"/>
  <c r="W41" i="20"/>
  <c r="V41" i="20"/>
  <c r="U41" i="20"/>
  <c r="T41" i="20"/>
  <c r="S41" i="20"/>
  <c r="R41" i="20"/>
  <c r="Q41" i="20"/>
  <c r="P41" i="20"/>
  <c r="O41" i="20"/>
  <c r="N41" i="20"/>
  <c r="M41" i="20"/>
  <c r="L41" i="20"/>
  <c r="K41" i="20"/>
  <c r="J41" i="20"/>
  <c r="A44" i="20"/>
  <c r="T26" i="20"/>
  <c r="U26" i="20"/>
  <c r="V26" i="20"/>
  <c r="S26" i="20"/>
  <c r="AI51" i="20"/>
  <c r="AH51" i="20"/>
  <c r="AG51" i="20"/>
  <c r="AF51" i="20"/>
  <c r="AE51" i="20"/>
  <c r="AD51" i="20"/>
  <c r="AC51" i="20"/>
  <c r="AB51" i="20"/>
  <c r="AA51" i="20"/>
  <c r="Z51" i="20"/>
  <c r="Y51" i="20"/>
  <c r="X51" i="20"/>
  <c r="W51" i="20"/>
  <c r="V51" i="20"/>
  <c r="U51" i="20"/>
  <c r="T51" i="20"/>
  <c r="S51" i="20"/>
  <c r="R51" i="20"/>
  <c r="Q51" i="20"/>
  <c r="P51" i="20"/>
  <c r="O51" i="20"/>
  <c r="N51" i="20"/>
  <c r="M51" i="20"/>
  <c r="L51" i="20"/>
  <c r="K51" i="20"/>
  <c r="J51" i="20"/>
  <c r="I51" i="20"/>
  <c r="H51" i="20"/>
  <c r="G51" i="20"/>
  <c r="F51" i="20"/>
  <c r="E51" i="20"/>
  <c r="Z52" i="20" l="1"/>
  <c r="Z58" i="20" s="1"/>
  <c r="AD52" i="20"/>
  <c r="AD58" i="20" s="1"/>
  <c r="AH52" i="20"/>
  <c r="AH58" i="20" s="1"/>
  <c r="K52" i="20"/>
  <c r="K58" i="20" s="1"/>
  <c r="O52" i="20"/>
  <c r="O58" i="20" s="1"/>
  <c r="S52" i="20"/>
  <c r="S58" i="20" s="1"/>
  <c r="W52" i="20"/>
  <c r="W58" i="20" s="1"/>
  <c r="AA52" i="20"/>
  <c r="AA58" i="20" s="1"/>
  <c r="AE52" i="20"/>
  <c r="AE58" i="20" s="1"/>
  <c r="AI52" i="20"/>
  <c r="AI58" i="20" s="1"/>
  <c r="L52" i="20"/>
  <c r="L58" i="20" s="1"/>
  <c r="P52" i="20"/>
  <c r="P58" i="20" s="1"/>
  <c r="T52" i="20"/>
  <c r="T58" i="20" s="1"/>
  <c r="X52" i="20"/>
  <c r="X58" i="20" s="1"/>
  <c r="AB52" i="20"/>
  <c r="AB58" i="20" s="1"/>
  <c r="AF52" i="20"/>
  <c r="AF58" i="20" s="1"/>
  <c r="M52" i="20"/>
  <c r="M58" i="20" s="1"/>
  <c r="Q52" i="20"/>
  <c r="Q58" i="20" s="1"/>
  <c r="U52" i="20"/>
  <c r="U58" i="20" s="1"/>
  <c r="Y52" i="20"/>
  <c r="Y58" i="20" s="1"/>
  <c r="AC52" i="20"/>
  <c r="AC58" i="20" s="1"/>
  <c r="AG52" i="20"/>
  <c r="AG58" i="20" s="1"/>
  <c r="N52" i="20"/>
  <c r="N58" i="20" s="1"/>
  <c r="R52" i="20"/>
  <c r="R58" i="20" s="1"/>
  <c r="V52" i="20"/>
  <c r="V58" i="20" s="1"/>
  <c r="J52" i="20" l="1"/>
  <c r="J58" i="20" s="1"/>
  <c r="I41" i="20"/>
  <c r="I52" i="20" s="1"/>
  <c r="I58" i="20" s="1"/>
  <c r="H41" i="20"/>
  <c r="H52" i="20" s="1"/>
  <c r="H58" i="20" s="1"/>
  <c r="G41" i="20"/>
  <c r="G52" i="20" s="1"/>
  <c r="G58" i="20" s="1"/>
  <c r="F41" i="20"/>
  <c r="F52" i="20" s="1"/>
  <c r="F58" i="20" s="1"/>
  <c r="E41" i="20"/>
  <c r="E52" i="20" s="1"/>
  <c r="E58" i="20" s="1"/>
  <c r="AI22" i="20"/>
  <c r="AH22" i="20"/>
  <c r="AG22" i="20"/>
  <c r="AF22" i="20"/>
  <c r="AE22" i="20"/>
  <c r="AD22" i="20"/>
  <c r="AC22" i="20"/>
  <c r="AB22" i="20"/>
  <c r="AA22" i="20"/>
  <c r="Z22" i="20"/>
  <c r="Y22" i="20"/>
  <c r="X22" i="20"/>
  <c r="W22" i="20"/>
  <c r="V22" i="20"/>
  <c r="U22" i="20"/>
  <c r="T22" i="20"/>
  <c r="S22" i="20"/>
  <c r="R22" i="20"/>
  <c r="Q22" i="20"/>
  <c r="P22" i="20"/>
  <c r="O22" i="20"/>
  <c r="N22" i="20"/>
  <c r="M22" i="20"/>
  <c r="L22" i="20"/>
  <c r="K22" i="20"/>
  <c r="J22" i="20"/>
  <c r="I22" i="20"/>
  <c r="H22" i="20"/>
  <c r="G22" i="20"/>
  <c r="F22" i="20"/>
  <c r="E22" i="20"/>
  <c r="F17" i="20"/>
  <c r="G17" i="20"/>
  <c r="H17" i="20"/>
  <c r="I17" i="20"/>
  <c r="J17" i="20"/>
  <c r="K17" i="20"/>
  <c r="L17" i="20"/>
  <c r="M17" i="20"/>
  <c r="N17" i="20"/>
  <c r="O17" i="20"/>
  <c r="P17" i="20"/>
  <c r="Q17" i="20"/>
  <c r="R17" i="20"/>
  <c r="S17" i="20"/>
  <c r="T17" i="20"/>
  <c r="U17" i="20"/>
  <c r="V17" i="20"/>
  <c r="W17" i="20"/>
  <c r="X17" i="20"/>
  <c r="Y17" i="20"/>
  <c r="Z17" i="20"/>
  <c r="AA17" i="20"/>
  <c r="AB17" i="20"/>
  <c r="AC17" i="20"/>
  <c r="AD17" i="20"/>
  <c r="AE17" i="20"/>
  <c r="AF17" i="20"/>
  <c r="AG17" i="20"/>
  <c r="AH17" i="20"/>
  <c r="AI17" i="20"/>
  <c r="E17" i="20"/>
  <c r="F11" i="20"/>
  <c r="G11" i="20"/>
  <c r="H11" i="20"/>
  <c r="I11" i="20"/>
  <c r="J11" i="20"/>
  <c r="K11" i="20"/>
  <c r="L11" i="20"/>
  <c r="M11" i="20"/>
  <c r="N11" i="20"/>
  <c r="O11" i="20"/>
  <c r="P11" i="20"/>
  <c r="Q11" i="20"/>
  <c r="R11" i="20"/>
  <c r="S11" i="20"/>
  <c r="T11" i="20"/>
  <c r="U11" i="20"/>
  <c r="V11" i="20"/>
  <c r="W11" i="20"/>
  <c r="X11" i="20"/>
  <c r="Y11" i="20"/>
  <c r="Z11" i="20"/>
  <c r="AA11" i="20"/>
  <c r="AB11" i="20"/>
  <c r="AC11" i="20"/>
  <c r="AD11" i="20"/>
  <c r="AE11" i="20"/>
  <c r="AH11" i="20"/>
  <c r="AI11" i="20"/>
  <c r="E11" i="20"/>
  <c r="A14" i="20"/>
  <c r="A5" i="20"/>
  <c r="A6" i="20"/>
  <c r="A7" i="20"/>
  <c r="A8" i="20"/>
  <c r="A9" i="20"/>
  <c r="A10" i="20"/>
  <c r="A11" i="20"/>
  <c r="A12" i="20"/>
  <c r="A13" i="20"/>
  <c r="A15" i="20"/>
  <c r="A16" i="20"/>
  <c r="A17" i="20"/>
  <c r="A18" i="20"/>
  <c r="A19" i="20"/>
  <c r="A20" i="20"/>
  <c r="A21" i="20"/>
  <c r="A23" i="20"/>
  <c r="A24" i="20"/>
  <c r="A25" i="20"/>
  <c r="A26" i="20"/>
  <c r="A27" i="20"/>
  <c r="A28" i="20"/>
  <c r="A29" i="20"/>
  <c r="A30" i="20"/>
  <c r="A31" i="20"/>
  <c r="A32" i="20"/>
  <c r="A33" i="20"/>
  <c r="A34" i="20"/>
  <c r="A35" i="20"/>
  <c r="A36" i="20"/>
  <c r="A37" i="20"/>
  <c r="A38" i="20"/>
  <c r="A39" i="20"/>
  <c r="A40" i="20"/>
  <c r="A41" i="20"/>
  <c r="A42" i="20"/>
  <c r="A43" i="20"/>
  <c r="A46" i="20"/>
  <c r="A50" i="20"/>
  <c r="A51" i="20"/>
  <c r="A52" i="20"/>
  <c r="A53" i="20"/>
  <c r="A54" i="20"/>
  <c r="A55" i="20"/>
  <c r="A56" i="20"/>
  <c r="A57" i="20"/>
  <c r="A58" i="20"/>
  <c r="A4" i="20"/>
  <c r="Z33" i="16"/>
  <c r="AA33" i="16"/>
  <c r="AG21" i="16"/>
  <c r="AG33" i="16"/>
  <c r="AG14" i="16"/>
  <c r="H33" i="16"/>
  <c r="I33" i="16"/>
  <c r="J33" i="16"/>
  <c r="K33" i="16"/>
  <c r="L33" i="16"/>
  <c r="M33" i="16"/>
  <c r="N33" i="16"/>
  <c r="O33" i="16"/>
  <c r="P33" i="16"/>
  <c r="Q33" i="16"/>
  <c r="R33" i="16"/>
  <c r="AH33" i="16"/>
  <c r="AI33" i="16"/>
  <c r="AJ33" i="16"/>
  <c r="AK33" i="16"/>
  <c r="AL33" i="16"/>
  <c r="AM33" i="16"/>
  <c r="AN33" i="16"/>
  <c r="AO33" i="16"/>
  <c r="AP33" i="16"/>
  <c r="AQ33" i="16"/>
  <c r="AR33" i="16"/>
  <c r="AS33" i="16"/>
  <c r="AF33" i="16"/>
  <c r="AG28" i="20" l="1"/>
  <c r="AC28" i="20"/>
  <c r="Y28" i="20"/>
  <c r="Q28" i="20"/>
  <c r="M28" i="20"/>
  <c r="I28" i="20"/>
  <c r="U28" i="20"/>
  <c r="G28" i="20"/>
  <c r="O28" i="20"/>
  <c r="W28" i="20"/>
  <c r="AE28" i="20"/>
  <c r="AI28" i="20"/>
  <c r="AA28" i="20"/>
  <c r="K28" i="20"/>
  <c r="E28" i="20"/>
  <c r="AF28" i="20"/>
  <c r="AB28" i="20"/>
  <c r="X28" i="20"/>
  <c r="T28" i="20"/>
  <c r="P28" i="20"/>
  <c r="L28" i="20"/>
  <c r="H28" i="20"/>
  <c r="F28" i="20"/>
  <c r="J28" i="20"/>
  <c r="N28" i="20"/>
  <c r="R28" i="20"/>
  <c r="V28" i="20"/>
  <c r="Z28" i="20"/>
  <c r="AD28" i="20"/>
  <c r="AH28" i="20"/>
  <c r="S28" i="20"/>
  <c r="AG22" i="16"/>
  <c r="AG28" i="16" s="1"/>
  <c r="AG30" i="16" s="1"/>
  <c r="D4" i="7"/>
  <c r="D5" i="7" s="1"/>
  <c r="D6" i="7" s="1"/>
  <c r="C5" i="7"/>
  <c r="C6" i="7" s="1"/>
  <c r="J34" i="10"/>
  <c r="J46" i="10"/>
  <c r="J40" i="10"/>
  <c r="H40" i="10"/>
  <c r="A46" i="10"/>
  <c r="A40" i="10"/>
  <c r="A34" i="10"/>
  <c r="J45" i="10"/>
  <c r="J44" i="10"/>
  <c r="J43" i="10"/>
  <c r="J42" i="10"/>
  <c r="J41" i="10"/>
  <c r="J39" i="10"/>
  <c r="J38" i="10"/>
  <c r="J37" i="10"/>
  <c r="J36" i="10"/>
  <c r="J35" i="10"/>
  <c r="H42" i="10"/>
  <c r="H43" i="10" s="1"/>
  <c r="H44" i="10" s="1"/>
  <c r="H45" i="10" s="1"/>
  <c r="H46" i="10" s="1"/>
  <c r="H37" i="10"/>
  <c r="H38" i="10"/>
  <c r="H39" i="10"/>
  <c r="H36" i="10"/>
  <c r="A42" i="10"/>
  <c r="A43" i="10"/>
  <c r="A44" i="10"/>
  <c r="A45" i="10"/>
  <c r="A36" i="10"/>
  <c r="A37" i="10"/>
  <c r="A38" i="10"/>
  <c r="A39" i="10"/>
  <c r="A41" i="10"/>
  <c r="J33" i="10"/>
  <c r="J32" i="10"/>
  <c r="J31" i="10"/>
  <c r="J30" i="10"/>
  <c r="J29" i="10"/>
  <c r="A30" i="10"/>
  <c r="A31" i="10"/>
  <c r="A32" i="10"/>
  <c r="A33" i="10"/>
  <c r="A35" i="10"/>
  <c r="A29" i="10"/>
  <c r="X3" i="16"/>
  <c r="X5" i="16" s="1"/>
  <c r="Y3" i="16"/>
  <c r="Y5" i="16" s="1"/>
  <c r="Z29" i="16"/>
  <c r="Y29" i="16"/>
  <c r="X29" i="16"/>
  <c r="A2" i="4" l="1"/>
  <c r="T33" i="16" l="1"/>
  <c r="U33" i="16"/>
  <c r="S33" i="16"/>
  <c r="S14" i="16"/>
  <c r="T14" i="16"/>
  <c r="U14" i="16"/>
  <c r="J26" i="2"/>
  <c r="J27" i="2" s="1"/>
  <c r="J28" i="2" s="1"/>
  <c r="J29" i="2" s="1"/>
  <c r="J30" i="2" s="1"/>
  <c r="J31" i="2" s="1"/>
  <c r="J32" i="2" s="1"/>
  <c r="J33" i="2" s="1"/>
  <c r="J34" i="2" s="1"/>
  <c r="J35" i="2" s="1"/>
  <c r="J36" i="2" s="1"/>
  <c r="J37" i="2" s="1"/>
  <c r="F33" i="16" l="1"/>
  <c r="G33" i="16"/>
  <c r="E33" i="16"/>
  <c r="L3" i="14"/>
  <c r="L4" i="14"/>
  <c r="L5" i="14"/>
  <c r="L6" i="14"/>
  <c r="L7" i="14"/>
  <c r="L8" i="14"/>
  <c r="L9" i="14"/>
  <c r="L10" i="14"/>
  <c r="L11" i="14"/>
  <c r="L2" i="14"/>
  <c r="J2" i="2"/>
  <c r="J3" i="2" s="1"/>
  <c r="J4" i="2" s="1"/>
  <c r="J5" i="2" s="1"/>
  <c r="J6" i="2" s="1"/>
  <c r="J7" i="2" s="1"/>
  <c r="J8" i="2" s="1"/>
  <c r="J9" i="2" s="1"/>
  <c r="J10" i="2" s="1"/>
  <c r="J11" i="2" s="1"/>
  <c r="J12" i="2" s="1"/>
  <c r="J13" i="2" s="1"/>
  <c r="J14" i="2" s="1"/>
  <c r="J15" i="2" s="1"/>
  <c r="J16" i="2" s="1"/>
  <c r="J17" i="2" s="1"/>
  <c r="J18" i="2" s="1"/>
  <c r="J19" i="2" s="1"/>
  <c r="J20" i="2" s="1"/>
  <c r="J21" i="2" s="1"/>
  <c r="J22" i="2" s="1"/>
  <c r="J23" i="2" s="1"/>
  <c r="J24" i="2" s="1"/>
  <c r="J25" i="2" s="1"/>
  <c r="AI21" i="16" l="1"/>
  <c r="AI14" i="16"/>
  <c r="AI22" i="16" l="1"/>
  <c r="AI28" i="16" s="1"/>
  <c r="AI30" i="16" s="1"/>
  <c r="E14" i="16"/>
  <c r="F14" i="16"/>
  <c r="G14" i="16"/>
  <c r="H14" i="16"/>
  <c r="I14" i="16"/>
  <c r="J14" i="16"/>
  <c r="K14" i="16"/>
  <c r="L14" i="16"/>
  <c r="M14" i="16"/>
  <c r="N14" i="16"/>
  <c r="O14" i="16"/>
  <c r="P14" i="16"/>
  <c r="Q14" i="16"/>
  <c r="R14" i="16"/>
  <c r="V14" i="16"/>
  <c r="W14" i="16"/>
  <c r="X14" i="16"/>
  <c r="Y14" i="16"/>
  <c r="Z14" i="16"/>
  <c r="AA14" i="16"/>
  <c r="AB14" i="16"/>
  <c r="AC14" i="16"/>
  <c r="AD14" i="16"/>
  <c r="AE14" i="16"/>
  <c r="AF14" i="16"/>
  <c r="E21" i="16"/>
  <c r="F21" i="16"/>
  <c r="G21" i="16"/>
  <c r="H21" i="16"/>
  <c r="I21" i="16"/>
  <c r="J21" i="16"/>
  <c r="K21" i="16"/>
  <c r="L21" i="16"/>
  <c r="M21" i="16"/>
  <c r="N21" i="16"/>
  <c r="O21" i="16"/>
  <c r="P21" i="16"/>
  <c r="Q21" i="16"/>
  <c r="R21" i="16"/>
  <c r="S21" i="16"/>
  <c r="T21" i="16"/>
  <c r="U21" i="16"/>
  <c r="V21" i="16"/>
  <c r="W21" i="16"/>
  <c r="X21" i="16"/>
  <c r="Y21" i="16"/>
  <c r="Z21" i="16"/>
  <c r="AA21" i="16"/>
  <c r="AB21" i="16"/>
  <c r="AC21" i="16"/>
  <c r="AD21" i="16"/>
  <c r="AE21" i="16"/>
  <c r="AF21" i="16"/>
  <c r="AH21" i="16"/>
  <c r="AH14" i="16"/>
  <c r="R22" i="16" l="1"/>
  <c r="R28" i="16" s="1"/>
  <c r="X22" i="16"/>
  <c r="X28" i="16" s="1"/>
  <c r="X30" i="16" s="1"/>
  <c r="P22" i="16"/>
  <c r="P28" i="16" s="1"/>
  <c r="H22" i="16"/>
  <c r="H28" i="16" s="1"/>
  <c r="H30" i="16" s="1"/>
  <c r="AF22" i="16"/>
  <c r="AF28" i="16" s="1"/>
  <c r="AF30" i="16" s="1"/>
  <c r="AC22" i="16"/>
  <c r="AC28" i="16" s="1"/>
  <c r="Z22" i="16"/>
  <c r="Z28" i="16" s="1"/>
  <c r="Z30" i="16" s="1"/>
  <c r="U22" i="16"/>
  <c r="U28" i="16" s="1"/>
  <c r="U30" i="16" s="1"/>
  <c r="Q22" i="16"/>
  <c r="Q28" i="16" s="1"/>
  <c r="M22" i="16"/>
  <c r="M28" i="16" s="1"/>
  <c r="J22" i="16"/>
  <c r="J28" i="16" s="1"/>
  <c r="E22" i="16"/>
  <c r="E28" i="16" s="1"/>
  <c r="E30" i="16" s="1"/>
  <c r="AB22" i="16"/>
  <c r="AB28" i="16" s="1"/>
  <c r="AD22" i="16"/>
  <c r="AD28" i="16" s="1"/>
  <c r="V22" i="16"/>
  <c r="V28" i="16" s="1"/>
  <c r="N22" i="16"/>
  <c r="N28" i="16" s="1"/>
  <c r="F22" i="16"/>
  <c r="F28" i="16" s="1"/>
  <c r="F30" i="16" s="1"/>
  <c r="AA22" i="16"/>
  <c r="AA28" i="16" s="1"/>
  <c r="AA30" i="16" s="1"/>
  <c r="S22" i="16"/>
  <c r="S28" i="16" s="1"/>
  <c r="S30" i="16" s="1"/>
  <c r="K22" i="16"/>
  <c r="K28" i="16" s="1"/>
  <c r="Y22" i="16"/>
  <c r="Y28" i="16" s="1"/>
  <c r="Y30" i="16" s="1"/>
  <c r="I22" i="16"/>
  <c r="I28" i="16" s="1"/>
  <c r="I30" i="16" s="1"/>
  <c r="T22" i="16"/>
  <c r="T28" i="16" s="1"/>
  <c r="T30" i="16" s="1"/>
  <c r="L22" i="16"/>
  <c r="L28" i="16" s="1"/>
  <c r="AE22" i="16"/>
  <c r="AE28" i="16" s="1"/>
  <c r="W22" i="16"/>
  <c r="W28" i="16" s="1"/>
  <c r="O22" i="16"/>
  <c r="O28" i="16" s="1"/>
  <c r="G22" i="16"/>
  <c r="G28" i="16" s="1"/>
  <c r="G30" i="16" s="1"/>
  <c r="AH22" i="16"/>
  <c r="AH28" i="16" s="1"/>
  <c r="AH30" i="16" s="1"/>
</calcChain>
</file>

<file path=xl/sharedStrings.xml><?xml version="1.0" encoding="utf-8"?>
<sst xmlns="http://schemas.openxmlformats.org/spreadsheetml/2006/main" count="1860" uniqueCount="472">
  <si>
    <t>Put any interesting about utility development, finances, etc. here</t>
  </si>
  <si>
    <t>Also list the document and page number of interesting information so we can find it later.</t>
  </si>
  <si>
    <t>document</t>
  </si>
  <si>
    <t>page</t>
  </si>
  <si>
    <t>description</t>
  </si>
  <si>
    <t>OS1992</t>
  </si>
  <si>
    <t>A-3</t>
  </si>
  <si>
    <t>The Authority does not have one single manager that manages operations. They have their board members and then they entered in to a management agreement starting on 11/4/1990 with the American Commonwealth Management Services Company, which is thereafter refered to as the "Manager." The Manager thus has full charge and direction of the water system and supervises all departments and divisions, keeps all accounts and records relating to the water system and water supply, hires, dischages, and directs all employees, creates the rate schedules, etc. etc.</t>
  </si>
  <si>
    <t>The Management Agreement will remain in effect until 11/31/1993 and provides for additional three year extension periods.</t>
  </si>
  <si>
    <t>A-2</t>
  </si>
  <si>
    <t xml:space="preserve">A consent decree was entered into starting 03/31/1991 by the PA Department of Env Resources. The Authority agreed that it would complete construction and obtain an operations permit for the water filtration plant at the Roan Reservoir. They also need to complete construction and obtain permits for various transmission pipelines, pump stations, etc. This was agreed to be completed by 08/31/1993. </t>
  </si>
  <si>
    <t>Will look at further documents to determine whether this was completed satisfactorily or not.</t>
  </si>
  <si>
    <t>OS2006</t>
  </si>
  <si>
    <t>Some of the sources of drinking water come from both groundwater and surface water, but are listed under the same general source</t>
  </si>
  <si>
    <t>OS2007</t>
  </si>
  <si>
    <t>B1</t>
  </si>
  <si>
    <t>Declining block rate structure used in pricing</t>
  </si>
  <si>
    <t>PWSID</t>
  </si>
  <si>
    <t>name</t>
  </si>
  <si>
    <t>OSYear</t>
  </si>
  <si>
    <t>WaterSewer</t>
  </si>
  <si>
    <t>bondRatingMoody</t>
  </si>
  <si>
    <t>bondRatingSP</t>
  </si>
  <si>
    <t>systemRating</t>
  </si>
  <si>
    <t>bondAmount</t>
  </si>
  <si>
    <t>startYear</t>
  </si>
  <si>
    <t>endYear</t>
  </si>
  <si>
    <t>series</t>
  </si>
  <si>
    <t>rateCovenantCurrent</t>
  </si>
  <si>
    <t>rateCovenantTotal</t>
  </si>
  <si>
    <t>debtSRF%</t>
  </si>
  <si>
    <t>debtSRFamt</t>
  </si>
  <si>
    <t>payment</t>
  </si>
  <si>
    <t>open loop</t>
  </si>
  <si>
    <t>taxable</t>
  </si>
  <si>
    <t>insured</t>
  </si>
  <si>
    <t>notes</t>
  </si>
  <si>
    <t>PA2408010</t>
  </si>
  <si>
    <t>HAZLETON CITY AUTH WATER DEPT.</t>
  </si>
  <si>
    <t>water</t>
  </si>
  <si>
    <t>Aaa</t>
  </si>
  <si>
    <t>AAA</t>
  </si>
  <si>
    <t>A</t>
  </si>
  <si>
    <t>annual</t>
  </si>
  <si>
    <t>no</t>
  </si>
  <si>
    <t>Financial Guaranty Insurance Company</t>
  </si>
  <si>
    <t>PA2408011</t>
  </si>
  <si>
    <t>NA</t>
  </si>
  <si>
    <t>Financial Security Assurance Inc.</t>
  </si>
  <si>
    <t>bondSeries</t>
  </si>
  <si>
    <t>scheduleType</t>
  </si>
  <si>
    <t>maturityYear</t>
  </si>
  <si>
    <t>month</t>
  </si>
  <si>
    <t>principalAmount</t>
  </si>
  <si>
    <t>couponRate</t>
  </si>
  <si>
    <t>remainingPrincipal</t>
  </si>
  <si>
    <t>interest</t>
  </si>
  <si>
    <t>yieldToMaturity</t>
  </si>
  <si>
    <t>price</t>
  </si>
  <si>
    <t>Maturity schedule</t>
  </si>
  <si>
    <t>April</t>
  </si>
  <si>
    <t>Mandatory</t>
  </si>
  <si>
    <t xml:space="preserve">Maturity </t>
  </si>
  <si>
    <t>amount</t>
  </si>
  <si>
    <t>purpose</t>
  </si>
  <si>
    <t>Refund 1979 bonds</t>
  </si>
  <si>
    <t>Refund 1986 bonds</t>
  </si>
  <si>
    <t xml:space="preserve">Capital Projects </t>
  </si>
  <si>
    <t>Land acquisition</t>
  </si>
  <si>
    <t>Original issue discount</t>
  </si>
  <si>
    <t>Underwriting issue discount</t>
  </si>
  <si>
    <t>Financing costs</t>
  </si>
  <si>
    <t>Pennvest Debt Service Reserve Fund</t>
  </si>
  <si>
    <t>Bond Debt Service Reserve Fund</t>
  </si>
  <si>
    <t>Accrued Interest</t>
  </si>
  <si>
    <t>Refund 1996 bonds</t>
  </si>
  <si>
    <t>2006 Bonds Debt Service Reserve Fund</t>
  </si>
  <si>
    <t>debtName</t>
  </si>
  <si>
    <t>type</t>
  </si>
  <si>
    <t>aveRate</t>
  </si>
  <si>
    <t>currentRemaining</t>
  </si>
  <si>
    <t>payments</t>
  </si>
  <si>
    <t xml:space="preserve">Series of 1996 </t>
  </si>
  <si>
    <t>bond</t>
  </si>
  <si>
    <t>(refunded by this issue)</t>
  </si>
  <si>
    <t>Pennvest Loan 30072</t>
  </si>
  <si>
    <t>loan</t>
  </si>
  <si>
    <t>Pennvest Loan 20010</t>
  </si>
  <si>
    <t>Pennvest Loan 25026</t>
  </si>
  <si>
    <t>Pennvest Loan 81004</t>
  </si>
  <si>
    <t>Pennvest Loan 80032</t>
  </si>
  <si>
    <t>Pennvest Loan 85104</t>
  </si>
  <si>
    <t>No information on start year and initial amounts for pennvest loans. Also, no information available on the 1996 bonds</t>
  </si>
  <si>
    <t>2009 (not OS)</t>
  </si>
  <si>
    <t>Series of 2006</t>
  </si>
  <si>
    <t>2010 (not OS)</t>
  </si>
  <si>
    <t>PennVest</t>
  </si>
  <si>
    <t>year</t>
  </si>
  <si>
    <t>principal</t>
  </si>
  <si>
    <t>total</t>
  </si>
  <si>
    <t>otherDebt</t>
  </si>
  <si>
    <t>totalDebtService</t>
  </si>
  <si>
    <t>netIncome</t>
  </si>
  <si>
    <t>surplus</t>
  </si>
  <si>
    <t>principalInterest</t>
  </si>
  <si>
    <t>debtServCovNet</t>
  </si>
  <si>
    <t>debtServCovTotal</t>
  </si>
  <si>
    <t>members</t>
  </si>
  <si>
    <t>office</t>
  </si>
  <si>
    <t>termExpire</t>
  </si>
  <si>
    <t>municipality</t>
  </si>
  <si>
    <t>Eugene J. Rafall</t>
  </si>
  <si>
    <t>Chairman</t>
  </si>
  <si>
    <t>James J.Petrilli</t>
  </si>
  <si>
    <t>Vice Chairman</t>
  </si>
  <si>
    <t>Richard Ammon</t>
  </si>
  <si>
    <t>Secretary</t>
  </si>
  <si>
    <t>John Mundie</t>
  </si>
  <si>
    <t>Assistant Secretary</t>
  </si>
  <si>
    <t>Lawrence M. Gabriel</t>
  </si>
  <si>
    <t>Assistant Treasury</t>
  </si>
  <si>
    <t>Phillip Andras</t>
  </si>
  <si>
    <t>David Sosar</t>
  </si>
  <si>
    <t>James Malloy</t>
  </si>
  <si>
    <t>Secretary/Treasurer</t>
  </si>
  <si>
    <t>Joseph Zoba</t>
  </si>
  <si>
    <t>governance</t>
  </si>
  <si>
    <t>taxingPower</t>
  </si>
  <si>
    <t>manager</t>
  </si>
  <si>
    <t>contractTermYrs</t>
  </si>
  <si>
    <t>contractAmount</t>
  </si>
  <si>
    <t>nEmployees</t>
  </si>
  <si>
    <t>ngoverningMunis</t>
  </si>
  <si>
    <t>nMunis</t>
  </si>
  <si>
    <t>nCounties</t>
  </si>
  <si>
    <t>defaultDebt</t>
  </si>
  <si>
    <t>populationServed</t>
  </si>
  <si>
    <t>meteredConnections</t>
  </si>
  <si>
    <t>pipeMiles</t>
  </si>
  <si>
    <t>areaMi2</t>
  </si>
  <si>
    <t>pipeMaterial</t>
  </si>
  <si>
    <t>percentPipes</t>
  </si>
  <si>
    <t>ConsultingEngineer</t>
  </si>
  <si>
    <t>Notes</t>
  </si>
  <si>
    <t>authority</t>
  </si>
  <si>
    <t>none</t>
  </si>
  <si>
    <t>Robert L. Zientek</t>
  </si>
  <si>
    <t>Schumacher Engineering</t>
  </si>
  <si>
    <t xml:space="preserve">The manager is part of a management agreement with American Commonwealth Management  Services Company (Hershey, PA) </t>
  </si>
  <si>
    <t>Randy Cahalan</t>
  </si>
  <si>
    <t>county</t>
  </si>
  <si>
    <t>Water</t>
  </si>
  <si>
    <t>Luzerne</t>
  </si>
  <si>
    <t>Hazleton City</t>
  </si>
  <si>
    <t>City</t>
  </si>
  <si>
    <t>Hazle Twp</t>
  </si>
  <si>
    <t>Twp</t>
  </si>
  <si>
    <t>West Hazleton Bor</t>
  </si>
  <si>
    <t>Borough</t>
  </si>
  <si>
    <t>Foster</t>
  </si>
  <si>
    <t>Jeddo</t>
  </si>
  <si>
    <t>Black Creek</t>
  </si>
  <si>
    <t>Sugarloaf</t>
  </si>
  <si>
    <t>Carbon</t>
  </si>
  <si>
    <t>Lausanne</t>
  </si>
  <si>
    <t>Banks</t>
  </si>
  <si>
    <t>Packer</t>
  </si>
  <si>
    <t>Beaver Meadows</t>
  </si>
  <si>
    <t>Schuylkill</t>
  </si>
  <si>
    <t>Delano</t>
  </si>
  <si>
    <t>Mahoney</t>
  </si>
  <si>
    <t>systemName</t>
  </si>
  <si>
    <t>aveVolume_MGD</t>
  </si>
  <si>
    <t>contractVolume_MGD</t>
  </si>
  <si>
    <t>role</t>
  </si>
  <si>
    <t>contractStart</t>
  </si>
  <si>
    <t>contractEnd</t>
  </si>
  <si>
    <t>sourceType</t>
  </si>
  <si>
    <t>nameInf</t>
  </si>
  <si>
    <t>infType</t>
  </si>
  <si>
    <t>dateOnline</t>
  </si>
  <si>
    <t>lastUpdate</t>
  </si>
  <si>
    <t>capacityMgal</t>
  </si>
  <si>
    <t>challenges</t>
  </si>
  <si>
    <t>resolutions</t>
  </si>
  <si>
    <t>Surface</t>
  </si>
  <si>
    <t>Dreck Creek</t>
  </si>
  <si>
    <t>Reservoir</t>
  </si>
  <si>
    <t>Hudson Dale</t>
  </si>
  <si>
    <t>Reservoir&amp;Dam</t>
  </si>
  <si>
    <t>Consent decree</t>
  </si>
  <si>
    <t>Decree was issue in 1992</t>
  </si>
  <si>
    <t>Surface&amp;Ground</t>
  </si>
  <si>
    <t>Mt. Pleasant</t>
  </si>
  <si>
    <t>Wells&amp;Reservoirs</t>
  </si>
  <si>
    <t>Barnes Run</t>
  </si>
  <si>
    <t>groupBy</t>
  </si>
  <si>
    <t>class</t>
  </si>
  <si>
    <t>tier</t>
  </si>
  <si>
    <t>nConnections</t>
  </si>
  <si>
    <t>Revenue</t>
  </si>
  <si>
    <t>Customer</t>
  </si>
  <si>
    <t>Residential</t>
  </si>
  <si>
    <t>nConnections is actually number of customers in the bond document</t>
  </si>
  <si>
    <t>Commercial</t>
  </si>
  <si>
    <t>Industrial</t>
  </si>
  <si>
    <t>Municipal</t>
  </si>
  <si>
    <t>Private Fire</t>
  </si>
  <si>
    <t>Resale &amp; Misc</t>
  </si>
  <si>
    <t>Resale</t>
  </si>
  <si>
    <t>Misc Water Sales</t>
  </si>
  <si>
    <t>2009 (nonOS)</t>
  </si>
  <si>
    <t>location</t>
  </si>
  <si>
    <t>volume_MGD</t>
  </si>
  <si>
    <t>annual_MG</t>
  </si>
  <si>
    <t>Water Sales $</t>
  </si>
  <si>
    <t>Entire system</t>
  </si>
  <si>
    <t>There was no info on MGD used by water users/classes</t>
  </si>
  <si>
    <t>Resale Misc.</t>
  </si>
  <si>
    <t>Misc.Water Sales</t>
  </si>
  <si>
    <t>grossPercent</t>
  </si>
  <si>
    <t>adjustedPercent</t>
  </si>
  <si>
    <t>method</t>
  </si>
  <si>
    <t>customer</t>
  </si>
  <si>
    <t>gallons</t>
  </si>
  <si>
    <t>revenue</t>
  </si>
  <si>
    <t>percentMethod</t>
  </si>
  <si>
    <t>percentGal</t>
  </si>
  <si>
    <t>percentRev</t>
  </si>
  <si>
    <t>Penn-Tex</t>
  </si>
  <si>
    <t>Manufacturing</t>
  </si>
  <si>
    <t>No information on water usage quantities, just revenues</t>
  </si>
  <si>
    <t>Penn Transfer</t>
  </si>
  <si>
    <t>Barrett Haentjens &amp; Co</t>
  </si>
  <si>
    <t>Beaver Meadows Bor</t>
  </si>
  <si>
    <t>St. Joseph's Medical</t>
  </si>
  <si>
    <t>Health Care</t>
  </si>
  <si>
    <t>Hazleton Hospital</t>
  </si>
  <si>
    <t>Hazleton School Dist.</t>
  </si>
  <si>
    <t>Public Education</t>
  </si>
  <si>
    <t>All Steel Equip Co.</t>
  </si>
  <si>
    <t>Citterio USA Corp</t>
  </si>
  <si>
    <t xml:space="preserve">Penn State </t>
  </si>
  <si>
    <t>Education</t>
  </si>
  <si>
    <t>Dial Corporation</t>
  </si>
  <si>
    <t>Citterio</t>
  </si>
  <si>
    <t>Stroehman</t>
  </si>
  <si>
    <t>Bakery</t>
  </si>
  <si>
    <t>Couldn't find info on total consumption or revenue by largest customers</t>
  </si>
  <si>
    <t>Fabri Kal</t>
  </si>
  <si>
    <t>Hazleton General</t>
  </si>
  <si>
    <t>St. Lukes</t>
  </si>
  <si>
    <t>Senior Living</t>
  </si>
  <si>
    <t>Alco Kalma</t>
  </si>
  <si>
    <t>Chemical Plant</t>
  </si>
  <si>
    <t>Hazleton Casting</t>
  </si>
  <si>
    <t>Intercoastal Inc.</t>
  </si>
  <si>
    <t>Hotel Operations</t>
  </si>
  <si>
    <t>rateYear</t>
  </si>
  <si>
    <t>yearSet</t>
  </si>
  <si>
    <t>billFrequency</t>
  </si>
  <si>
    <t>charges</t>
  </si>
  <si>
    <t>chargeType</t>
  </si>
  <si>
    <t>classUnit</t>
  </si>
  <si>
    <t>gallonsIncluded</t>
  </si>
  <si>
    <t>supplySystem</t>
  </si>
  <si>
    <t>cost</t>
  </si>
  <si>
    <t>costUnit</t>
  </si>
  <si>
    <t>No information on rates</t>
  </si>
  <si>
    <t>Monthly</t>
  </si>
  <si>
    <t>flat charge</t>
  </si>
  <si>
    <t>meter size</t>
  </si>
  <si>
    <t>inch</t>
  </si>
  <si>
    <t>flat fee</t>
  </si>
  <si>
    <t>consumption</t>
  </si>
  <si>
    <t>per 1000 gal</t>
  </si>
  <si>
    <t>Utility charges minimum flat rate plus quantity charges outlined to the left</t>
  </si>
  <si>
    <t>Means the sum doesn't match what was recorded</t>
  </si>
  <si>
    <t>These statements don't include depreciation but match earlier ones.</t>
  </si>
  <si>
    <t>Supplement with Financial statements</t>
  </si>
  <si>
    <t>Name</t>
  </si>
  <si>
    <t>Category</t>
  </si>
  <si>
    <t>SubCategory</t>
  </si>
  <si>
    <t>y1988</t>
  </si>
  <si>
    <t>y1989</t>
  </si>
  <si>
    <t>y1990</t>
  </si>
  <si>
    <t>y1991</t>
  </si>
  <si>
    <t>y1992</t>
  </si>
  <si>
    <t>y1993</t>
  </si>
  <si>
    <t>y1994</t>
  </si>
  <si>
    <t>y1995</t>
  </si>
  <si>
    <t>y1996</t>
  </si>
  <si>
    <t>y1997</t>
  </si>
  <si>
    <t>y1998</t>
  </si>
  <si>
    <t>y1999</t>
  </si>
  <si>
    <t>y2000</t>
  </si>
  <si>
    <t>y2001</t>
  </si>
  <si>
    <t>y2002</t>
  </si>
  <si>
    <t>y2003</t>
  </si>
  <si>
    <t>y2004</t>
  </si>
  <si>
    <t>y2005</t>
  </si>
  <si>
    <t>y2006</t>
  </si>
  <si>
    <t>y2007</t>
  </si>
  <si>
    <t>y2008</t>
  </si>
  <si>
    <t>y2009</t>
  </si>
  <si>
    <t>y2010</t>
  </si>
  <si>
    <t>y2011</t>
  </si>
  <si>
    <t>y2012</t>
  </si>
  <si>
    <t>y2013</t>
  </si>
  <si>
    <t>y2014</t>
  </si>
  <si>
    <t>y2015</t>
  </si>
  <si>
    <t>y2016</t>
  </si>
  <si>
    <t>y2017</t>
  </si>
  <si>
    <t>y2018</t>
  </si>
  <si>
    <t>Revenues</t>
  </si>
  <si>
    <t>Water Sales</t>
  </si>
  <si>
    <t>Penalties</t>
  </si>
  <si>
    <t>PA2408012</t>
  </si>
  <si>
    <t>Other operating revenues</t>
  </si>
  <si>
    <t>PA2408013</t>
  </si>
  <si>
    <t>PA2408014</t>
  </si>
  <si>
    <t>PA2408015</t>
  </si>
  <si>
    <t>PA2408016</t>
  </si>
  <si>
    <t>PA2408017</t>
  </si>
  <si>
    <t>PA2408018</t>
  </si>
  <si>
    <t>PA2408019</t>
  </si>
  <si>
    <t>PA2408020</t>
  </si>
  <si>
    <t>PA2408021</t>
  </si>
  <si>
    <t>Total Operating Revenues</t>
  </si>
  <si>
    <t>PA2408022</t>
  </si>
  <si>
    <t>Expenses</t>
  </si>
  <si>
    <t>Maintenance &amp; Repairs</t>
  </si>
  <si>
    <t>PA2408023</t>
  </si>
  <si>
    <t>Total other operating expenses</t>
  </si>
  <si>
    <t>PA2408024</t>
  </si>
  <si>
    <t>Depreciation</t>
  </si>
  <si>
    <t>PA2408025</t>
  </si>
  <si>
    <t>PA2408026</t>
  </si>
  <si>
    <t>PA2408027</t>
  </si>
  <si>
    <t>PA2408028</t>
  </si>
  <si>
    <t>Total Operating Expenses</t>
  </si>
  <si>
    <t>PA2408029</t>
  </si>
  <si>
    <t>Other Income and (Expense)</t>
  </si>
  <si>
    <t>Revenue - Expense</t>
  </si>
  <si>
    <t>PA2408030</t>
  </si>
  <si>
    <t>PA2408031</t>
  </si>
  <si>
    <t>PA2408032</t>
  </si>
  <si>
    <t>PA2408033</t>
  </si>
  <si>
    <t>PA2408034</t>
  </si>
  <si>
    <t>PA2408035</t>
  </si>
  <si>
    <t>Total Other Income and Expenses</t>
  </si>
  <si>
    <t>PA2408036</t>
  </si>
  <si>
    <t>Total nonoperating revenue and expenses</t>
  </si>
  <si>
    <t>Total Nonoperating Revenues and Expenses</t>
  </si>
  <si>
    <t>PA2408037</t>
  </si>
  <si>
    <t>Net Income</t>
  </si>
  <si>
    <t>PA2408038</t>
  </si>
  <si>
    <t>Retained Earnings</t>
  </si>
  <si>
    <t>Retained Earnings - Start of Year</t>
  </si>
  <si>
    <t>PA2408039</t>
  </si>
  <si>
    <t>Retained Earnings - End of Year</t>
  </si>
  <si>
    <t>PA2408040</t>
  </si>
  <si>
    <t>Change in Net Assets</t>
  </si>
  <si>
    <t xml:space="preserve"> </t>
  </si>
  <si>
    <t>Current Assets</t>
  </si>
  <si>
    <t>Cash</t>
  </si>
  <si>
    <t>Accounts Receivable</t>
  </si>
  <si>
    <t>Materials</t>
  </si>
  <si>
    <t>Unbilled revenue</t>
  </si>
  <si>
    <t>Prepaid expenses</t>
  </si>
  <si>
    <t>Intercompany balances</t>
  </si>
  <si>
    <t>Restricted Assets</t>
  </si>
  <si>
    <t>Special funds/Cash equiv</t>
  </si>
  <si>
    <t>Deferred debits</t>
  </si>
  <si>
    <t>Fixed Assets</t>
  </si>
  <si>
    <t>Property/equipment</t>
  </si>
  <si>
    <t>Construction in progress</t>
  </si>
  <si>
    <t>Less depreciation</t>
  </si>
  <si>
    <t>Land</t>
  </si>
  <si>
    <t>Other Assets</t>
  </si>
  <si>
    <t>Other</t>
  </si>
  <si>
    <t>Bond issuance costs</t>
  </si>
  <si>
    <t>Total Assets</t>
  </si>
  <si>
    <t>Current Liabilities</t>
  </si>
  <si>
    <t>Bonds &amp; Interest Payable</t>
  </si>
  <si>
    <t>Note payable/Current debt portion</t>
  </si>
  <si>
    <t>Lease payable</t>
  </si>
  <si>
    <t>Line of credit</t>
  </si>
  <si>
    <t>Accounts payable</t>
  </si>
  <si>
    <t>Contractural liabilities</t>
  </si>
  <si>
    <t>Wage taxes &amp; deductions</t>
  </si>
  <si>
    <t>Accrued expenses</t>
  </si>
  <si>
    <t>Customer service deposits</t>
  </si>
  <si>
    <t>Industrial division</t>
  </si>
  <si>
    <t>Longterm Liabilities</t>
  </si>
  <si>
    <t>Bonds 1979</t>
  </si>
  <si>
    <t>Bonds 1986</t>
  </si>
  <si>
    <t>Bonds 1996</t>
  </si>
  <si>
    <t>Bonds 2006</t>
  </si>
  <si>
    <t>Pennvest Note Payable</t>
  </si>
  <si>
    <t>Pennvest Loan Advance</t>
  </si>
  <si>
    <t>Pension liability</t>
  </si>
  <si>
    <t>demand note payable</t>
  </si>
  <si>
    <t>Unspecified debt</t>
  </si>
  <si>
    <t>Total Liabilities</t>
  </si>
  <si>
    <t>Fund Equity</t>
  </si>
  <si>
    <t>Contributed capital</t>
  </si>
  <si>
    <t>Retained earnings</t>
  </si>
  <si>
    <t>Deferred</t>
  </si>
  <si>
    <t>deferred credits</t>
  </si>
  <si>
    <t>Total Liabilities and Fund Equity</t>
  </si>
  <si>
    <t>amountBilled</t>
  </si>
  <si>
    <t>uncollected</t>
  </si>
  <si>
    <t>percentCollected</t>
  </si>
  <si>
    <t>Line Item</t>
  </si>
  <si>
    <t>[1]</t>
  </si>
  <si>
    <t>Enter as shown in the Total Operating Revenues line</t>
  </si>
  <si>
    <t>[2]</t>
  </si>
  <si>
    <t>Enter as shown in the Total Operating Expenses line</t>
  </si>
  <si>
    <t>[3]</t>
  </si>
  <si>
    <t>Depreciation &amp; Amortization Expenses</t>
  </si>
  <si>
    <t>Depreciation and amortization are listed as a line item within Operating Expenses</t>
  </si>
  <si>
    <t>[4]</t>
  </si>
  <si>
    <t>Debt Principal Payments</t>
  </si>
  <si>
    <t>Enter $0 if there were no debt service payments</t>
  </si>
  <si>
    <t>[4b]</t>
  </si>
  <si>
    <t>Debt Interest Payments</t>
  </si>
  <si>
    <t>[5]</t>
  </si>
  <si>
    <t>Current Assets, excluding inventories, restricted cash, prepaids</t>
  </si>
  <si>
    <t>Total Current Assets minus all inventories, prepaid items and any kind of restricted cash or restricted assets that cannot be used to pay for Current Liabilities</t>
  </si>
  <si>
    <t>[6]</t>
  </si>
  <si>
    <t>Current Liabilities, excluding deposits &amp; bond anticipation notes</t>
  </si>
  <si>
    <t>Total Current Liabilities minus all refundable deposits and bond anticipation notes</t>
  </si>
  <si>
    <t>[7]</t>
  </si>
  <si>
    <t>Unrestricted Cash &amp; Investments</t>
  </si>
  <si>
    <t>Unrestricted Cash &amp; Investments (and Cash Equivalents) is listed as a line item within Current Assets</t>
  </si>
  <si>
    <t>[8]</t>
  </si>
  <si>
    <t>Total Accumulated Depreciation</t>
  </si>
  <si>
    <t>Total accumulated depreciation on capital assets being depreciated (buildings, equipment, other improvements) is usually shown in the Detail Notes on Capital Assets.</t>
  </si>
  <si>
    <t>[9]</t>
  </si>
  <si>
    <t>Total Depreciable Capital Assets</t>
  </si>
  <si>
    <t>Enter the total value of capital assets being depreciated (buildings, equipment, othre improvements) only. Often listed in Detail Notes on Capital Assets.</t>
  </si>
  <si>
    <t>[10]</t>
  </si>
  <si>
    <t>[11]</t>
  </si>
  <si>
    <t>[12]</t>
  </si>
  <si>
    <t>Capital Spending</t>
  </si>
  <si>
    <t>Enter Current PPE less Prior PPE + Depreciation</t>
  </si>
  <si>
    <t>Indicators</t>
  </si>
  <si>
    <t>Formula</t>
  </si>
  <si>
    <t>Operating Ratio (including depreciation)</t>
  </si>
  <si>
    <r>
      <rPr>
        <u/>
        <sz val="11"/>
        <color theme="1"/>
        <rFont val="Calibri"/>
        <family val="2"/>
        <scheme val="minor"/>
      </rPr>
      <t xml:space="preserve">_[1]_ </t>
    </r>
    <r>
      <rPr>
        <sz val="11"/>
        <color theme="1"/>
        <rFont val="Calibri"/>
        <family val="2"/>
        <scheme val="minor"/>
      </rPr>
      <t xml:space="preserve">
[2]</t>
    </r>
  </si>
  <si>
    <t>Operating Ratio (not including depreciation)</t>
  </si>
  <si>
    <r>
      <t>___</t>
    </r>
    <r>
      <rPr>
        <u/>
        <sz val="11"/>
        <color theme="1"/>
        <rFont val="Calibri"/>
        <family val="2"/>
        <scheme val="minor"/>
      </rPr>
      <t>[1]</t>
    </r>
    <r>
      <rPr>
        <sz val="11"/>
        <color theme="1"/>
        <rFont val="Calibri"/>
        <family val="2"/>
        <scheme val="minor"/>
      </rPr>
      <t xml:space="preserve">___
 [2] - [3] </t>
    </r>
  </si>
  <si>
    <t>Debt Service coverage ratio</t>
  </si>
  <si>
    <r>
      <t xml:space="preserve">_[1] -  [2] + [3] _
</t>
    </r>
    <r>
      <rPr>
        <sz val="11"/>
        <color theme="1"/>
        <rFont val="Calibri"/>
        <family val="2"/>
        <scheme val="minor"/>
      </rPr>
      <t>[4] + [4b]</t>
    </r>
  </si>
  <si>
    <t>Quick Ratio</t>
  </si>
  <si>
    <r>
      <t xml:space="preserve">_[5]_
</t>
    </r>
    <r>
      <rPr>
        <sz val="11"/>
        <color theme="1"/>
        <rFont val="Calibri"/>
        <family val="2"/>
        <scheme val="minor"/>
      </rPr>
      <t>[6]</t>
    </r>
  </si>
  <si>
    <t>Days cash on hand</t>
  </si>
  <si>
    <r>
      <t xml:space="preserve">____[7]____
</t>
    </r>
    <r>
      <rPr>
        <sz val="11"/>
        <color theme="1"/>
        <rFont val="Calibri"/>
        <family val="2"/>
        <scheme val="minor"/>
      </rPr>
      <t>(([2] - [3])/365)</t>
    </r>
  </si>
  <si>
    <t>Percent of capital assets depreciated</t>
  </si>
  <si>
    <r>
      <t xml:space="preserve">_[8]_
</t>
    </r>
    <r>
      <rPr>
        <sz val="11"/>
        <color theme="1"/>
        <rFont val="Calibri"/>
        <family val="2"/>
        <scheme val="minor"/>
      </rPr>
      <t>[9]</t>
    </r>
  </si>
  <si>
    <t>Debt to Equity Ratio</t>
  </si>
  <si>
    <r>
      <t>__</t>
    </r>
    <r>
      <rPr>
        <u/>
        <sz val="11"/>
        <color theme="1"/>
        <rFont val="Calibri"/>
        <family val="2"/>
        <scheme val="minor"/>
      </rPr>
      <t>[11]</t>
    </r>
    <r>
      <rPr>
        <sz val="11"/>
        <color theme="1"/>
        <rFont val="Calibri"/>
        <family val="2"/>
        <scheme val="minor"/>
      </rPr>
      <t>__
( [10] - [11])</t>
    </r>
  </si>
  <si>
    <t>*</t>
  </si>
  <si>
    <t>Average plant age</t>
  </si>
  <si>
    <r>
      <t xml:space="preserve">_[8]_
</t>
    </r>
    <r>
      <rPr>
        <sz val="11"/>
        <color theme="1"/>
        <rFont val="Calibri"/>
        <family val="2"/>
        <scheme val="minor"/>
      </rPr>
      <t>[3]</t>
    </r>
  </si>
  <si>
    <t>**</t>
  </si>
  <si>
    <t>CapEx</t>
  </si>
  <si>
    <t>Replacement ratio</t>
  </si>
  <si>
    <r>
      <rPr>
        <u/>
        <sz val="11"/>
        <color theme="1"/>
        <rFont val="Calibri"/>
        <family val="2"/>
        <scheme val="minor"/>
      </rPr>
      <t xml:space="preserve">_CapEx_
</t>
    </r>
    <r>
      <rPr>
        <sz val="11"/>
        <color theme="1"/>
        <rFont val="Calibri"/>
        <family val="2"/>
        <scheme val="minor"/>
      </rPr>
      <t>[3]</t>
    </r>
  </si>
  <si>
    <t>*in cases where accumulated depcreciation is not available, calculate as: 35 - (net PPE / annual depreciation expense)</t>
  </si>
  <si>
    <t>**can also look in cash flow statement for capex value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</si>
</sst>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6" formatCode="&quot;$&quot;#,##0_);[Red]\(&quot;$&quot;#,##0\)"/>
    <numFmt numFmtId="44" formatCode="_(&quot;$&quot;* #,##0.00_);_(&quot;$&quot;* \(#,##0.00\);_(&quot;$&quot;* &quot;-&quot;??_);_(@_)"/>
    <numFmt numFmtId="43" formatCode="_(* #,##0.00_);_(* \(#,##0.00\);_(* &quot;-&quot;??_);_(@_)"/>
    <numFmt numFmtId="164" formatCode="_(* #,##0_);_(* \(#,##0\);_(* &quot;-&quot;??_);_(@_)"/>
    <numFmt numFmtId="165" formatCode="0.000"/>
    <numFmt numFmtId="166" formatCode="_(&quot;$&quot;* #,##0_);_(&quot;$&quot;* \(#,##0\);_(&quot;$&quot;* &quot;-&quot;??_);_(@_)"/>
    <numFmt numFmtId="167" formatCode="0.0"/>
  </numFmts>
  <fonts count="13" x14ac:knownFonts="1">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b/>
      <sz val="14"/>
      <color theme="1"/>
      <name val="Calibri"/>
      <family val="2"/>
      <scheme val="minor"/>
    </font>
    <font>
      <sz val="8"/>
      <name val="Calibri"/>
      <family val="2"/>
      <scheme val="minor"/>
    </font>
    <font>
      <sz val="11"/>
      <color rgb="FF000000"/>
      <name val="Calibri"/>
      <family val="2"/>
      <scheme val="minor"/>
    </font>
    <font>
      <b/>
      <sz val="11"/>
      <color rgb="FF000000"/>
      <name val="Calibri"/>
      <family val="2"/>
      <scheme val="minor"/>
    </font>
    <font>
      <sz val="10"/>
      <color rgb="FF040404"/>
      <name val="Helvetica"/>
      <family val="2"/>
    </font>
    <font>
      <sz val="12"/>
      <color theme="1"/>
      <name val="Calibri"/>
      <family val="2"/>
      <scheme val="minor"/>
    </font>
    <font>
      <sz val="12"/>
      <color theme="1" tint="0.34998626667073579"/>
      <name val="Calibri"/>
      <family val="2"/>
      <scheme val="minor"/>
    </font>
    <font>
      <b/>
      <sz val="12"/>
      <color theme="1"/>
      <name val="Calibri"/>
      <family val="2"/>
      <scheme val="minor"/>
    </font>
    <font>
      <u/>
      <sz val="11"/>
      <color theme="1"/>
      <name val="Calibri"/>
      <family val="2"/>
      <scheme val="minor"/>
    </font>
  </fonts>
  <fills count="5">
    <fill>
      <patternFill patternType="none"/>
    </fill>
    <fill>
      <patternFill patternType="gray125"/>
    </fill>
    <fill>
      <patternFill patternType="solid">
        <fgColor theme="0"/>
        <bgColor indexed="64"/>
      </patternFill>
    </fill>
    <fill>
      <patternFill patternType="solid">
        <fgColor theme="7"/>
        <bgColor indexed="64"/>
      </patternFill>
    </fill>
    <fill>
      <patternFill patternType="solid">
        <fgColor rgb="FFFFFFFF"/>
        <bgColor rgb="FF000000"/>
      </patternFill>
    </fill>
  </fills>
  <borders count="2">
    <border>
      <left/>
      <right/>
      <top/>
      <bottom/>
      <diagonal/>
    </border>
    <border>
      <left/>
      <right/>
      <top/>
      <bottom style="thin">
        <color indexed="64"/>
      </bottom>
      <diagonal/>
    </border>
  </borders>
  <cellStyleXfs count="4">
    <xf numFmtId="0" fontId="0"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cellStyleXfs>
  <cellXfs count="68">
    <xf numFmtId="0" fontId="0" fillId="0" borderId="0" xfId="0"/>
    <xf numFmtId="0" fontId="0" fillId="2" borderId="0" xfId="0" applyFill="1"/>
    <xf numFmtId="0" fontId="3" fillId="2" borderId="1" xfId="0" applyFont="1" applyFill="1" applyBorder="1" applyAlignment="1">
      <alignment horizontal="center"/>
    </xf>
    <xf numFmtId="164" fontId="3" fillId="2" borderId="1" xfId="1" applyNumberFormat="1" applyFont="1" applyFill="1" applyBorder="1"/>
    <xf numFmtId="0" fontId="3" fillId="2" borderId="1" xfId="0" applyFont="1" applyFill="1" applyBorder="1"/>
    <xf numFmtId="164" fontId="3" fillId="2" borderId="1" xfId="1" applyNumberFormat="1" applyFont="1" applyFill="1" applyBorder="1" applyAlignment="1">
      <alignment horizontal="center"/>
    </xf>
    <xf numFmtId="165" fontId="3" fillId="2" borderId="1" xfId="0" applyNumberFormat="1" applyFont="1" applyFill="1" applyBorder="1" applyAlignment="1">
      <alignment horizontal="center"/>
    </xf>
    <xf numFmtId="0" fontId="3" fillId="2" borderId="0" xfId="0" applyFont="1" applyFill="1"/>
    <xf numFmtId="164" fontId="3" fillId="2" borderId="1" xfId="1" applyNumberFormat="1" applyFont="1" applyFill="1" applyBorder="1" applyAlignment="1"/>
    <xf numFmtId="2" fontId="3" fillId="2" borderId="1" xfId="1" applyNumberFormat="1" applyFont="1" applyFill="1" applyBorder="1" applyAlignment="1">
      <alignment horizontal="center" vertical="center"/>
    </xf>
    <xf numFmtId="164" fontId="0" fillId="2" borderId="0" xfId="1" applyNumberFormat="1" applyFont="1" applyFill="1" applyAlignment="1">
      <alignment horizontal="center"/>
    </xf>
    <xf numFmtId="164" fontId="3" fillId="3" borderId="0" xfId="1" applyNumberFormat="1" applyFont="1" applyFill="1" applyAlignment="1">
      <alignment horizontal="left"/>
    </xf>
    <xf numFmtId="164" fontId="3" fillId="3" borderId="0" xfId="1" applyNumberFormat="1" applyFont="1" applyFill="1" applyAlignment="1">
      <alignment horizontal="center"/>
    </xf>
    <xf numFmtId="164" fontId="0" fillId="2" borderId="0" xfId="1" applyNumberFormat="1" applyFont="1" applyFill="1"/>
    <xf numFmtId="164" fontId="2" fillId="2" borderId="0" xfId="1" applyNumberFormat="1" applyFont="1" applyFill="1"/>
    <xf numFmtId="164" fontId="3" fillId="2" borderId="0" xfId="1" applyNumberFormat="1" applyFont="1" applyFill="1" applyAlignment="1">
      <alignment horizontal="center"/>
    </xf>
    <xf numFmtId="164" fontId="3" fillId="2" borderId="0" xfId="1" applyNumberFormat="1" applyFont="1" applyFill="1"/>
    <xf numFmtId="0" fontId="4" fillId="2" borderId="0" xfId="0" applyFont="1" applyFill="1"/>
    <xf numFmtId="0" fontId="3" fillId="2" borderId="1" xfId="0" applyFont="1" applyFill="1" applyBorder="1" applyAlignment="1">
      <alignment vertical="center"/>
    </xf>
    <xf numFmtId="166" fontId="3" fillId="2" borderId="1" xfId="2" applyNumberFormat="1" applyFont="1" applyFill="1" applyBorder="1" applyAlignment="1">
      <alignment vertical="center"/>
    </xf>
    <xf numFmtId="166" fontId="0" fillId="2" borderId="0" xfId="2" applyNumberFormat="1" applyFont="1" applyFill="1"/>
    <xf numFmtId="0" fontId="6" fillId="0" borderId="0" xfId="0" applyFont="1"/>
    <xf numFmtId="0" fontId="6" fillId="4" borderId="0" xfId="0" applyFont="1" applyFill="1"/>
    <xf numFmtId="10" fontId="3" fillId="2" borderId="1" xfId="3" applyNumberFormat="1" applyFont="1" applyFill="1" applyBorder="1" applyAlignment="1">
      <alignment horizontal="center"/>
    </xf>
    <xf numFmtId="10" fontId="0" fillId="2" borderId="0" xfId="3" applyNumberFormat="1" applyFont="1" applyFill="1"/>
    <xf numFmtId="0" fontId="7" fillId="0" borderId="0" xfId="0" applyFont="1"/>
    <xf numFmtId="1" fontId="0" fillId="2" borderId="0" xfId="1" applyNumberFormat="1" applyFont="1" applyFill="1"/>
    <xf numFmtId="1" fontId="0" fillId="2" borderId="0" xfId="0" applyNumberFormat="1" applyFill="1"/>
    <xf numFmtId="12" fontId="0" fillId="2" borderId="0" xfId="0" applyNumberFormat="1" applyFill="1"/>
    <xf numFmtId="12" fontId="3" fillId="2" borderId="1" xfId="0" applyNumberFormat="1" applyFont="1" applyFill="1" applyBorder="1"/>
    <xf numFmtId="2" fontId="3" fillId="2" borderId="1" xfId="2" applyNumberFormat="1" applyFont="1" applyFill="1" applyBorder="1" applyAlignment="1">
      <alignment horizontal="center"/>
    </xf>
    <xf numFmtId="2" fontId="0" fillId="2" borderId="0" xfId="2" applyNumberFormat="1" applyFont="1" applyFill="1"/>
    <xf numFmtId="0" fontId="0" fillId="2" borderId="0" xfId="0" applyFont="1" applyFill="1" applyBorder="1" applyAlignment="1">
      <alignment horizontal="center"/>
    </xf>
    <xf numFmtId="0" fontId="0" fillId="2" borderId="0" xfId="0" applyFont="1" applyFill="1" applyBorder="1"/>
    <xf numFmtId="0" fontId="0" fillId="2" borderId="0" xfId="0" applyFont="1" applyFill="1"/>
    <xf numFmtId="164" fontId="0" fillId="2" borderId="0" xfId="0" applyNumberFormat="1" applyFill="1"/>
    <xf numFmtId="167" fontId="0" fillId="2" borderId="0" xfId="0" applyNumberFormat="1" applyFill="1"/>
    <xf numFmtId="164" fontId="1" fillId="2" borderId="0" xfId="1" applyNumberFormat="1" applyFont="1" applyFill="1" applyAlignment="1">
      <alignment horizontal="center"/>
    </xf>
    <xf numFmtId="0" fontId="3" fillId="0" borderId="0" xfId="0" applyFont="1"/>
    <xf numFmtId="0" fontId="0" fillId="0" borderId="0" xfId="0" applyFont="1"/>
    <xf numFmtId="164" fontId="7" fillId="0" borderId="0" xfId="1" applyNumberFormat="1" applyFont="1" applyAlignment="1">
      <alignment horizontal="left" vertical="top"/>
    </xf>
    <xf numFmtId="164" fontId="3" fillId="0" borderId="0" xfId="1" applyNumberFormat="1" applyFont="1"/>
    <xf numFmtId="164" fontId="6" fillId="0" borderId="0" xfId="1" applyNumberFormat="1" applyFont="1"/>
    <xf numFmtId="164" fontId="0" fillId="0" borderId="0" xfId="1" applyNumberFormat="1" applyFont="1"/>
    <xf numFmtId="164" fontId="7" fillId="0" borderId="0" xfId="1" applyNumberFormat="1" applyFont="1"/>
    <xf numFmtId="164" fontId="3" fillId="2" borderId="0" xfId="0" applyNumberFormat="1" applyFont="1" applyFill="1"/>
    <xf numFmtId="164" fontId="1" fillId="2" borderId="0" xfId="1" applyNumberFormat="1" applyFont="1" applyFill="1"/>
    <xf numFmtId="0" fontId="3" fillId="2" borderId="0" xfId="0" applyFont="1" applyFill="1" applyBorder="1" applyAlignment="1">
      <alignment vertical="center"/>
    </xf>
    <xf numFmtId="0" fontId="0" fillId="2" borderId="0" xfId="0" applyFill="1" applyAlignment="1">
      <alignment vertical="center"/>
    </xf>
    <xf numFmtId="0" fontId="0" fillId="2" borderId="0" xfId="0" applyFont="1" applyFill="1" applyBorder="1" applyAlignment="1">
      <alignment vertical="center"/>
    </xf>
    <xf numFmtId="0" fontId="8" fillId="0" borderId="0" xfId="0" applyFont="1"/>
    <xf numFmtId="0" fontId="0" fillId="2" borderId="0" xfId="0" applyFill="1" applyAlignment="1">
      <alignment horizontal="left" vertical="top"/>
    </xf>
    <xf numFmtId="0" fontId="3" fillId="0" borderId="1" xfId="0" applyFont="1" applyBorder="1"/>
    <xf numFmtId="0" fontId="9" fillId="0" borderId="0" xfId="0" applyFont="1"/>
    <xf numFmtId="0" fontId="10" fillId="0" borderId="0" xfId="0" applyFont="1" applyAlignment="1">
      <alignment horizontal="left" indent="1"/>
    </xf>
    <xf numFmtId="3" fontId="0" fillId="0" borderId="0" xfId="0" applyNumberFormat="1"/>
    <xf numFmtId="6" fontId="0" fillId="0" borderId="0" xfId="0" applyNumberFormat="1"/>
    <xf numFmtId="0" fontId="11" fillId="0" borderId="1" xfId="0" applyFont="1" applyBorder="1"/>
    <xf numFmtId="0" fontId="0" fillId="0" borderId="0" xfId="0" applyAlignment="1">
      <alignment horizontal="center" vertical="center" wrapText="1"/>
    </xf>
    <xf numFmtId="2" fontId="0" fillId="0" borderId="0" xfId="0" applyNumberFormat="1"/>
    <xf numFmtId="0" fontId="12" fillId="0" borderId="0" xfId="0" applyFont="1" applyAlignment="1">
      <alignment horizontal="center" vertical="center" wrapText="1"/>
    </xf>
    <xf numFmtId="1" fontId="0" fillId="0" borderId="0" xfId="0" applyNumberFormat="1"/>
    <xf numFmtId="9" fontId="0" fillId="0" borderId="0" xfId="3" applyFont="1"/>
    <xf numFmtId="167" fontId="0" fillId="0" borderId="0" xfId="0" applyNumberFormat="1"/>
    <xf numFmtId="0" fontId="0" fillId="0" borderId="0" xfId="0" applyAlignment="1">
      <alignment horizontal="center" vertical="center"/>
    </xf>
    <xf numFmtId="0" fontId="0" fillId="0" borderId="0" xfId="0" applyAlignment="1">
      <alignment wrapText="1"/>
    </xf>
    <xf numFmtId="0" fontId="0" fillId="0" borderId="0" xfId="0" applyAlignment="1">
      <alignment horizontal="center"/>
    </xf>
    <xf numFmtId="164" fontId="1" fillId="2" borderId="0" xfId="1" applyNumberFormat="1" applyFont="1" applyFill="1" applyAlignment="1">
      <alignment horizontal="left"/>
    </xf>
  </cellXfs>
  <cellStyles count="4">
    <cellStyle name="Comma" xfId="1" builtinId="3"/>
    <cellStyle name="Currency" xfId="2" builtinId="4"/>
    <cellStyle name="Normal" xfId="0" builtinId="0"/>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0"/>
  <sheetViews>
    <sheetView workbookViewId="0">
      <selection activeCell="B11" sqref="B11"/>
    </sheetView>
  </sheetViews>
  <sheetFormatPr defaultColWidth="8.88671875" defaultRowHeight="14.4" x14ac:dyDescent="0.3"/>
  <cols>
    <col min="1" max="1" width="10.88671875" style="1" customWidth="1"/>
    <col min="2" max="16384" width="8.88671875" style="1"/>
  </cols>
  <sheetData>
    <row r="1" spans="1:3" ht="18" x14ac:dyDescent="0.35">
      <c r="A1" s="17" t="s">
        <v>0</v>
      </c>
    </row>
    <row r="2" spans="1:3" ht="18" x14ac:dyDescent="0.35">
      <c r="A2" s="17" t="s">
        <v>1</v>
      </c>
    </row>
    <row r="4" spans="1:3" x14ac:dyDescent="0.3">
      <c r="A4" s="18" t="s">
        <v>2</v>
      </c>
      <c r="B4" s="18" t="s">
        <v>3</v>
      </c>
      <c r="C4" s="18" t="s">
        <v>4</v>
      </c>
    </row>
    <row r="5" spans="1:3" x14ac:dyDescent="0.3">
      <c r="A5" s="1" t="s">
        <v>5</v>
      </c>
      <c r="B5" s="1" t="s">
        <v>6</v>
      </c>
      <c r="C5" s="1" t="s">
        <v>7</v>
      </c>
    </row>
    <row r="6" spans="1:3" x14ac:dyDescent="0.3">
      <c r="C6" s="1" t="s">
        <v>8</v>
      </c>
    </row>
    <row r="7" spans="1:3" x14ac:dyDescent="0.3">
      <c r="A7" s="1" t="s">
        <v>5</v>
      </c>
      <c r="B7" s="1" t="s">
        <v>9</v>
      </c>
      <c r="C7" s="1" t="s">
        <v>10</v>
      </c>
    </row>
    <row r="8" spans="1:3" x14ac:dyDescent="0.3">
      <c r="C8" s="1" t="s">
        <v>11</v>
      </c>
    </row>
    <row r="9" spans="1:3" x14ac:dyDescent="0.3">
      <c r="A9" s="1" t="s">
        <v>12</v>
      </c>
      <c r="B9" s="51">
        <v>9</v>
      </c>
      <c r="C9" s="1" t="s">
        <v>13</v>
      </c>
    </row>
    <row r="10" spans="1:3" x14ac:dyDescent="0.3">
      <c r="A10" s="1" t="s">
        <v>14</v>
      </c>
      <c r="B10" s="1" t="s">
        <v>15</v>
      </c>
      <c r="C10" s="1" t="s">
        <v>16</v>
      </c>
    </row>
  </sheetData>
  <phoneticPr fontId="5"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27"/>
  <sheetViews>
    <sheetView topLeftCell="A2" workbookViewId="0">
      <selection activeCell="H25" sqref="H25"/>
    </sheetView>
  </sheetViews>
  <sheetFormatPr defaultColWidth="8.88671875" defaultRowHeight="14.4" x14ac:dyDescent="0.3"/>
  <cols>
    <col min="1" max="1" width="10.109375" style="1" bestFit="1" customWidth="1"/>
    <col min="2" max="2" width="27.88671875" style="1" bestFit="1" customWidth="1"/>
    <col min="3" max="3" width="8.88671875" style="1"/>
    <col min="4" max="4" width="11.33203125" style="1" bestFit="1" customWidth="1"/>
    <col min="5" max="5" width="8.88671875" style="1"/>
    <col min="6" max="6" width="10.88671875" style="1" bestFit="1" customWidth="1"/>
    <col min="7" max="16384" width="8.88671875" style="1"/>
  </cols>
  <sheetData>
    <row r="1" spans="1:8" x14ac:dyDescent="0.3">
      <c r="A1" s="2" t="s">
        <v>17</v>
      </c>
      <c r="B1" s="2" t="s">
        <v>18</v>
      </c>
      <c r="C1" s="2" t="s">
        <v>19</v>
      </c>
      <c r="D1" s="2" t="s">
        <v>20</v>
      </c>
      <c r="E1" s="2" t="s">
        <v>150</v>
      </c>
      <c r="F1" s="2" t="s">
        <v>110</v>
      </c>
      <c r="G1" s="2" t="s">
        <v>78</v>
      </c>
      <c r="H1" s="4" t="s">
        <v>36</v>
      </c>
    </row>
    <row r="2" spans="1:8" x14ac:dyDescent="0.3">
      <c r="A2" s="21" t="s">
        <v>37</v>
      </c>
      <c r="B2" s="21" t="s">
        <v>38</v>
      </c>
      <c r="C2" s="1">
        <v>1992</v>
      </c>
      <c r="D2" s="1" t="s">
        <v>151</v>
      </c>
      <c r="E2" s="1" t="s">
        <v>152</v>
      </c>
      <c r="F2" s="1" t="s">
        <v>153</v>
      </c>
      <c r="G2" s="1" t="s">
        <v>154</v>
      </c>
    </row>
    <row r="3" spans="1:8" x14ac:dyDescent="0.3">
      <c r="A3" s="21" t="s">
        <v>37</v>
      </c>
      <c r="B3" s="21" t="s">
        <v>38</v>
      </c>
      <c r="C3" s="1">
        <v>1992</v>
      </c>
      <c r="D3" s="1" t="s">
        <v>151</v>
      </c>
      <c r="E3" s="1" t="s">
        <v>152</v>
      </c>
      <c r="F3" s="1" t="s">
        <v>155</v>
      </c>
      <c r="G3" s="1" t="s">
        <v>156</v>
      </c>
    </row>
    <row r="4" spans="1:8" x14ac:dyDescent="0.3">
      <c r="A4" s="21" t="s">
        <v>37</v>
      </c>
      <c r="B4" s="21" t="s">
        <v>38</v>
      </c>
      <c r="C4" s="1">
        <v>1992</v>
      </c>
      <c r="D4" s="1" t="s">
        <v>151</v>
      </c>
      <c r="E4" s="1" t="s">
        <v>152</v>
      </c>
      <c r="F4" s="1" t="s">
        <v>157</v>
      </c>
      <c r="G4" s="1" t="s">
        <v>158</v>
      </c>
    </row>
    <row r="5" spans="1:8" x14ac:dyDescent="0.3">
      <c r="A5" s="21" t="s">
        <v>37</v>
      </c>
      <c r="B5" s="21" t="s">
        <v>38</v>
      </c>
      <c r="C5" s="1">
        <v>1992</v>
      </c>
      <c r="D5" s="1" t="s">
        <v>151</v>
      </c>
      <c r="E5" s="1" t="s">
        <v>152</v>
      </c>
      <c r="F5" s="1" t="s">
        <v>159</v>
      </c>
      <c r="G5" s="1" t="s">
        <v>156</v>
      </c>
    </row>
    <row r="6" spans="1:8" x14ac:dyDescent="0.3">
      <c r="A6" s="21" t="s">
        <v>37</v>
      </c>
      <c r="B6" s="21" t="s">
        <v>38</v>
      </c>
      <c r="C6" s="1">
        <v>1992</v>
      </c>
      <c r="D6" s="1" t="s">
        <v>151</v>
      </c>
      <c r="E6" s="1" t="s">
        <v>152</v>
      </c>
      <c r="F6" s="1" t="s">
        <v>160</v>
      </c>
      <c r="G6" s="1" t="s">
        <v>158</v>
      </c>
    </row>
    <row r="7" spans="1:8" x14ac:dyDescent="0.3">
      <c r="A7" s="21" t="s">
        <v>37</v>
      </c>
      <c r="B7" s="21" t="s">
        <v>38</v>
      </c>
      <c r="C7" s="1">
        <v>1992</v>
      </c>
      <c r="D7" s="1" t="s">
        <v>151</v>
      </c>
      <c r="E7" s="1" t="s">
        <v>152</v>
      </c>
      <c r="F7" s="1" t="s">
        <v>161</v>
      </c>
      <c r="G7" s="1" t="s">
        <v>156</v>
      </c>
    </row>
    <row r="8" spans="1:8" x14ac:dyDescent="0.3">
      <c r="A8" s="21" t="s">
        <v>37</v>
      </c>
      <c r="B8" s="21" t="s">
        <v>38</v>
      </c>
      <c r="C8" s="1">
        <v>1992</v>
      </c>
      <c r="D8" s="1" t="s">
        <v>151</v>
      </c>
      <c r="E8" s="1" t="s">
        <v>152</v>
      </c>
      <c r="F8" s="1" t="s">
        <v>162</v>
      </c>
      <c r="G8" s="1" t="s">
        <v>156</v>
      </c>
    </row>
    <row r="9" spans="1:8" x14ac:dyDescent="0.3">
      <c r="A9" s="21" t="s">
        <v>37</v>
      </c>
      <c r="B9" s="21" t="s">
        <v>38</v>
      </c>
      <c r="C9" s="1">
        <v>1992</v>
      </c>
      <c r="D9" s="1" t="s">
        <v>151</v>
      </c>
      <c r="E9" s="1" t="s">
        <v>163</v>
      </c>
      <c r="F9" s="1" t="s">
        <v>164</v>
      </c>
      <c r="G9" s="1" t="s">
        <v>156</v>
      </c>
    </row>
    <row r="10" spans="1:8" x14ac:dyDescent="0.3">
      <c r="A10" s="21" t="s">
        <v>37</v>
      </c>
      <c r="B10" s="21" t="s">
        <v>38</v>
      </c>
      <c r="C10" s="1">
        <v>1992</v>
      </c>
      <c r="D10" s="1" t="s">
        <v>151</v>
      </c>
      <c r="E10" s="1" t="s">
        <v>163</v>
      </c>
      <c r="F10" s="1" t="s">
        <v>165</v>
      </c>
      <c r="G10" s="1" t="s">
        <v>156</v>
      </c>
    </row>
    <row r="11" spans="1:8" x14ac:dyDescent="0.3">
      <c r="A11" s="21" t="s">
        <v>37</v>
      </c>
      <c r="B11" s="21" t="s">
        <v>38</v>
      </c>
      <c r="C11" s="1">
        <v>1992</v>
      </c>
      <c r="D11" s="1" t="s">
        <v>151</v>
      </c>
      <c r="E11" s="1" t="s">
        <v>163</v>
      </c>
      <c r="F11" s="1" t="s">
        <v>166</v>
      </c>
      <c r="G11" s="1" t="s">
        <v>156</v>
      </c>
    </row>
    <row r="12" spans="1:8" x14ac:dyDescent="0.3">
      <c r="A12" s="21" t="s">
        <v>37</v>
      </c>
      <c r="B12" s="21" t="s">
        <v>38</v>
      </c>
      <c r="C12" s="1">
        <v>1992</v>
      </c>
      <c r="D12" s="1" t="s">
        <v>151</v>
      </c>
      <c r="E12" s="1" t="s">
        <v>163</v>
      </c>
      <c r="F12" s="1" t="s">
        <v>167</v>
      </c>
      <c r="G12" s="1" t="s">
        <v>158</v>
      </c>
    </row>
    <row r="13" spans="1:8" x14ac:dyDescent="0.3">
      <c r="A13" s="21" t="s">
        <v>37</v>
      </c>
      <c r="B13" s="21" t="s">
        <v>38</v>
      </c>
      <c r="C13" s="1">
        <v>1992</v>
      </c>
      <c r="D13" s="1" t="s">
        <v>151</v>
      </c>
      <c r="E13" s="1" t="s">
        <v>168</v>
      </c>
      <c r="F13" s="1" t="s">
        <v>169</v>
      </c>
      <c r="G13" s="1" t="s">
        <v>156</v>
      </c>
    </row>
    <row r="14" spans="1:8" x14ac:dyDescent="0.3">
      <c r="A14" s="21" t="s">
        <v>37</v>
      </c>
      <c r="B14" s="21" t="s">
        <v>38</v>
      </c>
      <c r="C14" s="1">
        <v>1992</v>
      </c>
      <c r="D14" s="1" t="s">
        <v>151</v>
      </c>
      <c r="E14" s="1" t="s">
        <v>168</v>
      </c>
      <c r="F14" s="1" t="s">
        <v>170</v>
      </c>
      <c r="G14" s="1" t="s">
        <v>156</v>
      </c>
    </row>
    <row r="15" spans="1:8" x14ac:dyDescent="0.3">
      <c r="A15" s="21" t="s">
        <v>37</v>
      </c>
      <c r="B15" s="21" t="s">
        <v>38</v>
      </c>
      <c r="C15" s="1">
        <v>2006</v>
      </c>
      <c r="D15" s="1" t="s">
        <v>151</v>
      </c>
      <c r="E15" s="1" t="s">
        <v>152</v>
      </c>
      <c r="F15" s="1" t="s">
        <v>153</v>
      </c>
      <c r="G15" s="1" t="s">
        <v>154</v>
      </c>
    </row>
    <row r="16" spans="1:8" x14ac:dyDescent="0.3">
      <c r="A16" s="21" t="s">
        <v>37</v>
      </c>
      <c r="B16" s="21" t="s">
        <v>38</v>
      </c>
      <c r="C16" s="1">
        <v>2006</v>
      </c>
      <c r="D16" s="1" t="s">
        <v>151</v>
      </c>
      <c r="E16" s="1" t="s">
        <v>152</v>
      </c>
      <c r="F16" s="1" t="s">
        <v>155</v>
      </c>
      <c r="G16" s="1" t="s">
        <v>156</v>
      </c>
    </row>
    <row r="17" spans="1:7" x14ac:dyDescent="0.3">
      <c r="A17" s="21" t="s">
        <v>37</v>
      </c>
      <c r="B17" s="21" t="s">
        <v>38</v>
      </c>
      <c r="C17" s="1">
        <v>2006</v>
      </c>
      <c r="D17" s="1" t="s">
        <v>151</v>
      </c>
      <c r="E17" s="1" t="s">
        <v>152</v>
      </c>
      <c r="F17" s="1" t="s">
        <v>157</v>
      </c>
      <c r="G17" s="1" t="s">
        <v>158</v>
      </c>
    </row>
    <row r="18" spans="1:7" x14ac:dyDescent="0.3">
      <c r="A18" s="21" t="s">
        <v>37</v>
      </c>
      <c r="B18" s="21" t="s">
        <v>38</v>
      </c>
      <c r="C18" s="1">
        <v>2006</v>
      </c>
      <c r="D18" s="1" t="s">
        <v>151</v>
      </c>
      <c r="E18" s="1" t="s">
        <v>152</v>
      </c>
      <c r="F18" s="1" t="s">
        <v>159</v>
      </c>
      <c r="G18" s="1" t="s">
        <v>156</v>
      </c>
    </row>
    <row r="19" spans="1:7" x14ac:dyDescent="0.3">
      <c r="A19" s="21" t="s">
        <v>37</v>
      </c>
      <c r="B19" s="21" t="s">
        <v>38</v>
      </c>
      <c r="C19" s="1">
        <v>2006</v>
      </c>
      <c r="D19" s="1" t="s">
        <v>151</v>
      </c>
      <c r="E19" s="1" t="s">
        <v>152</v>
      </c>
      <c r="F19" s="1" t="s">
        <v>160</v>
      </c>
      <c r="G19" s="1" t="s">
        <v>158</v>
      </c>
    </row>
    <row r="20" spans="1:7" x14ac:dyDescent="0.3">
      <c r="A20" s="21" t="s">
        <v>37</v>
      </c>
      <c r="B20" s="21" t="s">
        <v>38</v>
      </c>
      <c r="C20" s="1">
        <v>2006</v>
      </c>
      <c r="D20" s="1" t="s">
        <v>151</v>
      </c>
      <c r="E20" s="1" t="s">
        <v>152</v>
      </c>
      <c r="F20" s="1" t="s">
        <v>161</v>
      </c>
      <c r="G20" s="1" t="s">
        <v>156</v>
      </c>
    </row>
    <row r="21" spans="1:7" x14ac:dyDescent="0.3">
      <c r="A21" s="21" t="s">
        <v>37</v>
      </c>
      <c r="B21" s="21" t="s">
        <v>38</v>
      </c>
      <c r="C21" s="1">
        <v>2006</v>
      </c>
      <c r="D21" s="1" t="s">
        <v>151</v>
      </c>
      <c r="E21" s="1" t="s">
        <v>152</v>
      </c>
      <c r="F21" s="1" t="s">
        <v>162</v>
      </c>
      <c r="G21" s="1" t="s">
        <v>156</v>
      </c>
    </row>
    <row r="22" spans="1:7" x14ac:dyDescent="0.3">
      <c r="A22" s="21" t="s">
        <v>37</v>
      </c>
      <c r="B22" s="21" t="s">
        <v>38</v>
      </c>
      <c r="C22" s="1">
        <v>2006</v>
      </c>
      <c r="D22" s="1" t="s">
        <v>151</v>
      </c>
      <c r="E22" s="1" t="s">
        <v>163</v>
      </c>
      <c r="F22" s="1" t="s">
        <v>164</v>
      </c>
      <c r="G22" s="1" t="s">
        <v>156</v>
      </c>
    </row>
    <row r="23" spans="1:7" x14ac:dyDescent="0.3">
      <c r="A23" s="21" t="s">
        <v>37</v>
      </c>
      <c r="B23" s="21" t="s">
        <v>38</v>
      </c>
      <c r="C23" s="1">
        <v>2006</v>
      </c>
      <c r="D23" s="1" t="s">
        <v>151</v>
      </c>
      <c r="E23" s="1" t="s">
        <v>163</v>
      </c>
      <c r="F23" s="1" t="s">
        <v>165</v>
      </c>
      <c r="G23" s="1" t="s">
        <v>156</v>
      </c>
    </row>
    <row r="24" spans="1:7" x14ac:dyDescent="0.3">
      <c r="A24" s="21" t="s">
        <v>37</v>
      </c>
      <c r="B24" s="21" t="s">
        <v>38</v>
      </c>
      <c r="C24" s="1">
        <v>2006</v>
      </c>
      <c r="D24" s="1" t="s">
        <v>151</v>
      </c>
      <c r="E24" s="1" t="s">
        <v>163</v>
      </c>
      <c r="F24" s="1" t="s">
        <v>166</v>
      </c>
      <c r="G24" s="1" t="s">
        <v>156</v>
      </c>
    </row>
    <row r="25" spans="1:7" x14ac:dyDescent="0.3">
      <c r="A25" s="21" t="s">
        <v>37</v>
      </c>
      <c r="B25" s="21" t="s">
        <v>38</v>
      </c>
      <c r="C25" s="1">
        <v>2006</v>
      </c>
      <c r="D25" s="1" t="s">
        <v>151</v>
      </c>
      <c r="E25" s="1" t="s">
        <v>163</v>
      </c>
      <c r="F25" s="1" t="s">
        <v>167</v>
      </c>
      <c r="G25" s="1" t="s">
        <v>158</v>
      </c>
    </row>
    <row r="26" spans="1:7" x14ac:dyDescent="0.3">
      <c r="A26" s="21" t="s">
        <v>37</v>
      </c>
      <c r="B26" s="21" t="s">
        <v>38</v>
      </c>
      <c r="C26" s="1">
        <v>2006</v>
      </c>
      <c r="D26" s="1" t="s">
        <v>151</v>
      </c>
      <c r="E26" s="1" t="s">
        <v>168</v>
      </c>
      <c r="F26" s="1" t="s">
        <v>169</v>
      </c>
      <c r="G26" s="1" t="s">
        <v>156</v>
      </c>
    </row>
    <row r="27" spans="1:7" x14ac:dyDescent="0.3">
      <c r="A27" s="21" t="s">
        <v>37</v>
      </c>
      <c r="B27" s="21" t="s">
        <v>38</v>
      </c>
      <c r="C27" s="1">
        <v>2006</v>
      </c>
      <c r="D27" s="1" t="s">
        <v>151</v>
      </c>
      <c r="E27" s="1" t="s">
        <v>168</v>
      </c>
      <c r="F27" s="1" t="s">
        <v>170</v>
      </c>
      <c r="G27" s="1" t="s">
        <v>156</v>
      </c>
    </row>
  </sheetData>
  <phoneticPr fontId="5"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K1"/>
  <sheetViews>
    <sheetView workbookViewId="0">
      <selection activeCell="C11" sqref="C11"/>
    </sheetView>
  </sheetViews>
  <sheetFormatPr defaultColWidth="8.88671875" defaultRowHeight="14.4" x14ac:dyDescent="0.3"/>
  <cols>
    <col min="1" max="1" width="10.109375" style="1" bestFit="1" customWidth="1"/>
    <col min="2" max="2" width="27.88671875" style="1" bestFit="1" customWidth="1"/>
    <col min="3" max="3" width="11.33203125" style="1" bestFit="1" customWidth="1"/>
    <col min="4" max="4" width="11.88671875" style="1" bestFit="1" customWidth="1"/>
    <col min="5" max="5" width="15.88671875" style="1" bestFit="1" customWidth="1"/>
    <col min="6" max="6" width="20" style="1" bestFit="1" customWidth="1"/>
    <col min="7" max="8" width="8.88671875" style="1"/>
    <col min="9" max="9" width="11.33203125" style="1" bestFit="1" customWidth="1"/>
    <col min="10" max="10" width="10.44140625" style="1" bestFit="1" customWidth="1"/>
    <col min="11" max="16384" width="8.88671875" style="1"/>
  </cols>
  <sheetData>
    <row r="1" spans="1:11" x14ac:dyDescent="0.3">
      <c r="A1" s="2" t="s">
        <v>17</v>
      </c>
      <c r="B1" s="2" t="s">
        <v>19</v>
      </c>
      <c r="C1" s="2" t="s">
        <v>20</v>
      </c>
      <c r="D1" s="2" t="s">
        <v>171</v>
      </c>
      <c r="E1" s="2" t="s">
        <v>172</v>
      </c>
      <c r="F1" s="2" t="s">
        <v>173</v>
      </c>
      <c r="G1" s="2" t="s">
        <v>78</v>
      </c>
      <c r="H1" s="2" t="s">
        <v>174</v>
      </c>
      <c r="I1" s="2" t="s">
        <v>175</v>
      </c>
      <c r="J1" s="2" t="s">
        <v>176</v>
      </c>
      <c r="K1" s="2" t="s">
        <v>36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L9"/>
  <sheetViews>
    <sheetView workbookViewId="0">
      <selection activeCell="E3" sqref="E3"/>
    </sheetView>
  </sheetViews>
  <sheetFormatPr defaultColWidth="8.88671875" defaultRowHeight="14.4" x14ac:dyDescent="0.3"/>
  <cols>
    <col min="1" max="1" width="10.109375" style="1" bestFit="1" customWidth="1"/>
    <col min="2" max="2" width="27.88671875" style="1" bestFit="1" customWidth="1"/>
    <col min="3" max="3" width="8.88671875" style="1"/>
    <col min="4" max="4" width="13.88671875" style="1" bestFit="1" customWidth="1"/>
    <col min="5" max="5" width="10.6640625" style="1" bestFit="1" customWidth="1"/>
    <col min="6" max="6" width="13" style="1" bestFit="1" customWidth="1"/>
    <col min="7" max="7" width="10.33203125" style="1" bestFit="1" customWidth="1"/>
    <col min="8" max="8" width="9.44140625" style="1" bestFit="1" customWidth="1"/>
    <col min="9" max="9" width="11.33203125" style="1" bestFit="1" customWidth="1"/>
    <col min="10" max="10" width="9.33203125" style="1" bestFit="1" customWidth="1"/>
    <col min="11" max="11" width="9.88671875" style="1" bestFit="1" customWidth="1"/>
    <col min="12" max="16384" width="8.88671875" style="1"/>
  </cols>
  <sheetData>
    <row r="1" spans="1:12" x14ac:dyDescent="0.3">
      <c r="A1" s="2" t="s">
        <v>17</v>
      </c>
      <c r="B1" s="2" t="s">
        <v>18</v>
      </c>
      <c r="C1" s="2" t="s">
        <v>19</v>
      </c>
      <c r="D1" s="4" t="s">
        <v>177</v>
      </c>
      <c r="E1" s="4" t="s">
        <v>178</v>
      </c>
      <c r="F1" s="4" t="s">
        <v>179</v>
      </c>
      <c r="G1" s="4" t="s">
        <v>180</v>
      </c>
      <c r="H1" s="4" t="s">
        <v>181</v>
      </c>
      <c r="I1" s="4" t="s">
        <v>182</v>
      </c>
      <c r="J1" s="4" t="s">
        <v>183</v>
      </c>
      <c r="K1" s="4" t="s">
        <v>184</v>
      </c>
      <c r="L1" s="4" t="s">
        <v>36</v>
      </c>
    </row>
    <row r="2" spans="1:12" x14ac:dyDescent="0.3">
      <c r="A2" s="21" t="s">
        <v>37</v>
      </c>
      <c r="B2" s="21" t="s">
        <v>38</v>
      </c>
      <c r="C2" s="1">
        <v>1992</v>
      </c>
      <c r="D2" s="1" t="s">
        <v>185</v>
      </c>
      <c r="E2" s="1" t="s">
        <v>186</v>
      </c>
      <c r="F2" s="1" t="s">
        <v>187</v>
      </c>
      <c r="I2" s="1">
        <v>488</v>
      </c>
    </row>
    <row r="3" spans="1:12" x14ac:dyDescent="0.3">
      <c r="A3" s="21" t="s">
        <v>37</v>
      </c>
      <c r="B3" s="21" t="s">
        <v>38</v>
      </c>
      <c r="C3" s="1">
        <v>1992</v>
      </c>
      <c r="D3" s="1" t="s">
        <v>185</v>
      </c>
      <c r="E3" s="1" t="s">
        <v>188</v>
      </c>
      <c r="F3" s="1" t="s">
        <v>189</v>
      </c>
      <c r="I3" s="1">
        <v>9</v>
      </c>
      <c r="J3" s="1" t="s">
        <v>190</v>
      </c>
      <c r="L3" s="1" t="s">
        <v>191</v>
      </c>
    </row>
    <row r="4" spans="1:12" x14ac:dyDescent="0.3">
      <c r="A4" s="21" t="s">
        <v>37</v>
      </c>
      <c r="B4" s="21" t="s">
        <v>38</v>
      </c>
      <c r="C4" s="1">
        <v>1992</v>
      </c>
      <c r="D4" s="1" t="s">
        <v>192</v>
      </c>
      <c r="E4" s="1" t="s">
        <v>193</v>
      </c>
      <c r="F4" s="1" t="s">
        <v>194</v>
      </c>
      <c r="I4" s="1">
        <v>71</v>
      </c>
    </row>
    <row r="5" spans="1:12" x14ac:dyDescent="0.3">
      <c r="A5" s="21" t="s">
        <v>37</v>
      </c>
      <c r="B5" s="21" t="s">
        <v>38</v>
      </c>
      <c r="C5" s="1">
        <v>1992</v>
      </c>
      <c r="D5" s="1" t="s">
        <v>192</v>
      </c>
      <c r="E5" s="1" t="s">
        <v>195</v>
      </c>
      <c r="F5" s="1" t="s">
        <v>194</v>
      </c>
      <c r="I5" s="1">
        <v>144</v>
      </c>
    </row>
    <row r="6" spans="1:12" x14ac:dyDescent="0.3">
      <c r="A6" s="21" t="s">
        <v>37</v>
      </c>
      <c r="B6" s="21" t="s">
        <v>38</v>
      </c>
      <c r="C6" s="1">
        <v>2006</v>
      </c>
      <c r="D6" s="1" t="s">
        <v>185</v>
      </c>
      <c r="E6" s="1" t="s">
        <v>186</v>
      </c>
      <c r="F6" s="1" t="s">
        <v>187</v>
      </c>
      <c r="I6" s="1">
        <v>488</v>
      </c>
    </row>
    <row r="7" spans="1:12" x14ac:dyDescent="0.3">
      <c r="A7" s="21" t="s">
        <v>37</v>
      </c>
      <c r="B7" s="21" t="s">
        <v>38</v>
      </c>
      <c r="C7" s="1">
        <v>2006</v>
      </c>
      <c r="D7" s="1" t="s">
        <v>185</v>
      </c>
      <c r="E7" s="1" t="s">
        <v>188</v>
      </c>
      <c r="F7" s="1" t="s">
        <v>189</v>
      </c>
      <c r="I7" s="1">
        <v>9</v>
      </c>
    </row>
    <row r="8" spans="1:12" x14ac:dyDescent="0.3">
      <c r="A8" s="21" t="s">
        <v>37</v>
      </c>
      <c r="B8" s="21" t="s">
        <v>38</v>
      </c>
      <c r="C8" s="1">
        <v>2006</v>
      </c>
      <c r="D8" s="1" t="s">
        <v>192</v>
      </c>
      <c r="E8" s="1" t="s">
        <v>193</v>
      </c>
      <c r="F8" s="1" t="s">
        <v>194</v>
      </c>
      <c r="I8" s="1">
        <v>71</v>
      </c>
    </row>
    <row r="9" spans="1:12" x14ac:dyDescent="0.3">
      <c r="A9" s="21" t="s">
        <v>37</v>
      </c>
      <c r="B9" s="21" t="s">
        <v>38</v>
      </c>
      <c r="C9" s="1">
        <v>2006</v>
      </c>
      <c r="D9" s="1" t="s">
        <v>192</v>
      </c>
      <c r="E9" s="1" t="s">
        <v>195</v>
      </c>
      <c r="F9" s="1" t="s">
        <v>194</v>
      </c>
      <c r="I9" s="1">
        <v>144</v>
      </c>
    </row>
  </sheetData>
  <phoneticPr fontId="5"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M46"/>
  <sheetViews>
    <sheetView topLeftCell="A16" workbookViewId="0">
      <selection activeCell="J8" sqref="J8:J28"/>
    </sheetView>
  </sheetViews>
  <sheetFormatPr defaultColWidth="8.88671875" defaultRowHeight="14.4" x14ac:dyDescent="0.3"/>
  <cols>
    <col min="1" max="1" width="10.109375" style="1" bestFit="1" customWidth="1"/>
    <col min="2" max="2" width="27.88671875" style="1" bestFit="1" customWidth="1"/>
    <col min="3" max="3" width="6.6640625" style="1" bestFit="1" customWidth="1"/>
    <col min="4" max="4" width="10.88671875" style="1" bestFit="1" customWidth="1"/>
    <col min="5" max="5" width="8.44140625" style="1" bestFit="1" customWidth="1"/>
    <col min="6" max="6" width="13.6640625" style="1" bestFit="1" customWidth="1"/>
    <col min="7" max="8" width="8.88671875" style="1"/>
    <col min="9" max="9" width="11.88671875" style="1" bestFit="1" customWidth="1"/>
    <col min="10" max="10" width="11.88671875" style="1" customWidth="1"/>
    <col min="11" max="16384" width="8.88671875" style="1"/>
  </cols>
  <sheetData>
    <row r="1" spans="1:11" x14ac:dyDescent="0.3">
      <c r="A1" s="2" t="s">
        <v>17</v>
      </c>
      <c r="B1" s="2" t="s">
        <v>18</v>
      </c>
      <c r="C1" s="2" t="s">
        <v>19</v>
      </c>
      <c r="D1" s="2" t="s">
        <v>20</v>
      </c>
      <c r="E1" s="4" t="s">
        <v>196</v>
      </c>
      <c r="F1" s="4" t="s">
        <v>197</v>
      </c>
      <c r="G1" s="2" t="s">
        <v>198</v>
      </c>
      <c r="H1" s="4" t="s">
        <v>97</v>
      </c>
      <c r="I1" s="4" t="s">
        <v>199</v>
      </c>
      <c r="J1" s="4" t="s">
        <v>200</v>
      </c>
      <c r="K1" s="4" t="s">
        <v>36</v>
      </c>
    </row>
    <row r="2" spans="1:11" x14ac:dyDescent="0.3">
      <c r="A2" s="21" t="s">
        <v>37</v>
      </c>
      <c r="B2" s="21" t="s">
        <v>38</v>
      </c>
      <c r="C2" s="1">
        <v>1992</v>
      </c>
      <c r="D2" s="1" t="s">
        <v>151</v>
      </c>
      <c r="E2" s="1" t="s">
        <v>201</v>
      </c>
      <c r="F2" s="1" t="s">
        <v>202</v>
      </c>
      <c r="H2" s="1">
        <v>1992</v>
      </c>
      <c r="I2" s="1">
        <v>13291</v>
      </c>
      <c r="K2" s="1" t="s">
        <v>203</v>
      </c>
    </row>
    <row r="3" spans="1:11" x14ac:dyDescent="0.3">
      <c r="A3" s="21" t="s">
        <v>37</v>
      </c>
      <c r="B3" s="21" t="s">
        <v>38</v>
      </c>
      <c r="C3" s="1">
        <v>1992</v>
      </c>
      <c r="D3" s="1" t="s">
        <v>151</v>
      </c>
      <c r="E3" s="1" t="s">
        <v>201</v>
      </c>
      <c r="F3" s="1" t="s">
        <v>204</v>
      </c>
      <c r="H3" s="1">
        <v>1992</v>
      </c>
      <c r="I3" s="1">
        <v>710</v>
      </c>
    </row>
    <row r="4" spans="1:11" x14ac:dyDescent="0.3">
      <c r="A4" s="21" t="s">
        <v>37</v>
      </c>
      <c r="B4" s="21" t="s">
        <v>38</v>
      </c>
      <c r="C4" s="1">
        <v>1992</v>
      </c>
      <c r="D4" s="1" t="s">
        <v>151</v>
      </c>
      <c r="E4" s="1" t="s">
        <v>201</v>
      </c>
      <c r="F4" s="1" t="s">
        <v>205</v>
      </c>
      <c r="H4" s="1">
        <v>1992</v>
      </c>
      <c r="I4" s="1">
        <v>109</v>
      </c>
    </row>
    <row r="5" spans="1:11" x14ac:dyDescent="0.3">
      <c r="A5" s="21" t="s">
        <v>37</v>
      </c>
      <c r="B5" s="21" t="s">
        <v>38</v>
      </c>
      <c r="C5" s="1">
        <v>1992</v>
      </c>
      <c r="D5" s="1" t="s">
        <v>151</v>
      </c>
      <c r="E5" s="1" t="s">
        <v>201</v>
      </c>
      <c r="F5" s="1" t="s">
        <v>206</v>
      </c>
      <c r="H5" s="1">
        <v>1992</v>
      </c>
      <c r="I5" s="1">
        <v>55</v>
      </c>
    </row>
    <row r="6" spans="1:11" x14ac:dyDescent="0.3">
      <c r="A6" s="21" t="s">
        <v>37</v>
      </c>
      <c r="B6" s="21" t="s">
        <v>38</v>
      </c>
      <c r="C6" s="1">
        <v>1992</v>
      </c>
      <c r="D6" s="1" t="s">
        <v>151</v>
      </c>
      <c r="E6" s="1" t="s">
        <v>201</v>
      </c>
      <c r="F6" s="1" t="s">
        <v>207</v>
      </c>
      <c r="H6" s="1">
        <v>1992</v>
      </c>
      <c r="I6" s="1">
        <v>106</v>
      </c>
    </row>
    <row r="7" spans="1:11" x14ac:dyDescent="0.3">
      <c r="A7" s="21" t="s">
        <v>37</v>
      </c>
      <c r="B7" s="21" t="s">
        <v>38</v>
      </c>
      <c r="C7" s="1">
        <v>1992</v>
      </c>
      <c r="D7" s="1" t="s">
        <v>151</v>
      </c>
      <c r="E7" s="1" t="s">
        <v>201</v>
      </c>
      <c r="F7" s="1" t="s">
        <v>208</v>
      </c>
      <c r="H7" s="1">
        <v>1992</v>
      </c>
      <c r="I7" s="1">
        <v>17</v>
      </c>
    </row>
    <row r="8" spans="1:11" x14ac:dyDescent="0.3">
      <c r="A8" s="21" t="s">
        <v>37</v>
      </c>
      <c r="B8" s="21" t="s">
        <v>38</v>
      </c>
      <c r="C8" s="1">
        <v>2006</v>
      </c>
      <c r="D8" s="1" t="s">
        <v>151</v>
      </c>
      <c r="E8" s="1" t="s">
        <v>201</v>
      </c>
      <c r="F8" s="1" t="s">
        <v>202</v>
      </c>
      <c r="H8" s="1">
        <v>2003</v>
      </c>
      <c r="J8" s="1">
        <v>4719420</v>
      </c>
    </row>
    <row r="9" spans="1:11" x14ac:dyDescent="0.3">
      <c r="A9" s="21" t="s">
        <v>37</v>
      </c>
      <c r="B9" s="21" t="s">
        <v>38</v>
      </c>
      <c r="C9" s="1">
        <v>2006</v>
      </c>
      <c r="D9" s="1" t="s">
        <v>151</v>
      </c>
      <c r="E9" s="1" t="s">
        <v>201</v>
      </c>
      <c r="F9" s="1" t="s">
        <v>204</v>
      </c>
      <c r="H9" s="1">
        <v>2003</v>
      </c>
      <c r="J9" s="1">
        <v>1083363</v>
      </c>
    </row>
    <row r="10" spans="1:11" x14ac:dyDescent="0.3">
      <c r="A10" s="21" t="s">
        <v>37</v>
      </c>
      <c r="B10" s="21" t="s">
        <v>38</v>
      </c>
      <c r="C10" s="1">
        <v>2006</v>
      </c>
      <c r="D10" s="1" t="s">
        <v>151</v>
      </c>
      <c r="E10" s="1" t="s">
        <v>201</v>
      </c>
      <c r="F10" s="1" t="s">
        <v>205</v>
      </c>
      <c r="H10" s="1">
        <v>2003</v>
      </c>
      <c r="J10" s="1">
        <v>417142</v>
      </c>
    </row>
    <row r="11" spans="1:11" x14ac:dyDescent="0.3">
      <c r="A11" s="21" t="s">
        <v>37</v>
      </c>
      <c r="B11" s="21" t="s">
        <v>38</v>
      </c>
      <c r="C11" s="1">
        <v>2006</v>
      </c>
      <c r="D11" s="1" t="s">
        <v>151</v>
      </c>
      <c r="E11" s="1" t="s">
        <v>201</v>
      </c>
      <c r="F11" s="1" t="s">
        <v>206</v>
      </c>
      <c r="H11" s="1">
        <v>2003</v>
      </c>
      <c r="J11" s="1">
        <v>89608</v>
      </c>
    </row>
    <row r="12" spans="1:11" x14ac:dyDescent="0.3">
      <c r="A12" s="21" t="s">
        <v>37</v>
      </c>
      <c r="B12" s="21" t="s">
        <v>38</v>
      </c>
      <c r="C12" s="1">
        <v>2006</v>
      </c>
      <c r="D12" s="1" t="s">
        <v>151</v>
      </c>
      <c r="E12" s="1" t="s">
        <v>201</v>
      </c>
      <c r="F12" s="1" t="s">
        <v>207</v>
      </c>
      <c r="H12" s="1">
        <v>2003</v>
      </c>
      <c r="J12" s="1">
        <v>249526</v>
      </c>
    </row>
    <row r="13" spans="1:11" x14ac:dyDescent="0.3">
      <c r="A13" s="21" t="s">
        <v>37</v>
      </c>
      <c r="B13" s="21" t="s">
        <v>38</v>
      </c>
      <c r="C13" s="1">
        <v>2006</v>
      </c>
      <c r="D13" s="1" t="s">
        <v>151</v>
      </c>
      <c r="E13" s="1" t="s">
        <v>201</v>
      </c>
      <c r="F13" s="1" t="s">
        <v>209</v>
      </c>
      <c r="H13" s="1">
        <v>2003</v>
      </c>
      <c r="J13" s="1">
        <v>59222</v>
      </c>
    </row>
    <row r="14" spans="1:11" x14ac:dyDescent="0.3">
      <c r="A14" s="21" t="s">
        <v>37</v>
      </c>
      <c r="B14" s="21" t="s">
        <v>38</v>
      </c>
      <c r="C14" s="1">
        <v>2006</v>
      </c>
      <c r="D14" s="1" t="s">
        <v>151</v>
      </c>
      <c r="E14" s="1" t="s">
        <v>201</v>
      </c>
      <c r="F14" s="1" t="s">
        <v>210</v>
      </c>
      <c r="H14" s="1">
        <v>2003</v>
      </c>
      <c r="J14" s="1">
        <v>13959</v>
      </c>
    </row>
    <row r="15" spans="1:11" x14ac:dyDescent="0.3">
      <c r="A15" s="21" t="s">
        <v>37</v>
      </c>
      <c r="B15" s="21" t="s">
        <v>38</v>
      </c>
      <c r="C15" s="1">
        <v>2006</v>
      </c>
      <c r="D15" s="1" t="s">
        <v>151</v>
      </c>
      <c r="E15" s="1" t="s">
        <v>201</v>
      </c>
      <c r="F15" s="1" t="s">
        <v>202</v>
      </c>
      <c r="H15" s="1">
        <v>2004</v>
      </c>
      <c r="J15" s="1">
        <v>4956016</v>
      </c>
    </row>
    <row r="16" spans="1:11" x14ac:dyDescent="0.3">
      <c r="A16" s="21" t="s">
        <v>37</v>
      </c>
      <c r="B16" s="21" t="s">
        <v>38</v>
      </c>
      <c r="C16" s="1">
        <v>2006</v>
      </c>
      <c r="D16" s="1" t="s">
        <v>151</v>
      </c>
      <c r="E16" s="1" t="s">
        <v>201</v>
      </c>
      <c r="F16" s="1" t="s">
        <v>204</v>
      </c>
      <c r="H16" s="1">
        <v>2004</v>
      </c>
      <c r="J16" s="1">
        <v>1124550</v>
      </c>
    </row>
    <row r="17" spans="1:10" x14ac:dyDescent="0.3">
      <c r="A17" s="21" t="s">
        <v>37</v>
      </c>
      <c r="B17" s="21" t="s">
        <v>38</v>
      </c>
      <c r="C17" s="1">
        <v>2006</v>
      </c>
      <c r="D17" s="1" t="s">
        <v>151</v>
      </c>
      <c r="E17" s="1" t="s">
        <v>201</v>
      </c>
      <c r="F17" s="1" t="s">
        <v>205</v>
      </c>
      <c r="H17" s="1">
        <v>2004</v>
      </c>
      <c r="J17" s="1">
        <v>401174</v>
      </c>
    </row>
    <row r="18" spans="1:10" x14ac:dyDescent="0.3">
      <c r="A18" s="21" t="s">
        <v>37</v>
      </c>
      <c r="B18" s="21" t="s">
        <v>38</v>
      </c>
      <c r="C18" s="1">
        <v>2006</v>
      </c>
      <c r="D18" s="1" t="s">
        <v>151</v>
      </c>
      <c r="E18" s="1" t="s">
        <v>201</v>
      </c>
      <c r="F18" s="1" t="s">
        <v>206</v>
      </c>
      <c r="H18" s="1">
        <v>2004</v>
      </c>
      <c r="J18" s="1">
        <v>258211</v>
      </c>
    </row>
    <row r="19" spans="1:10" x14ac:dyDescent="0.3">
      <c r="A19" s="21" t="s">
        <v>37</v>
      </c>
      <c r="B19" s="21" t="s">
        <v>38</v>
      </c>
      <c r="C19" s="1">
        <v>2006</v>
      </c>
      <c r="D19" s="1" t="s">
        <v>151</v>
      </c>
      <c r="E19" s="1" t="s">
        <v>201</v>
      </c>
      <c r="F19" s="1" t="s">
        <v>207</v>
      </c>
      <c r="H19" s="1">
        <v>2004</v>
      </c>
      <c r="J19" s="1">
        <v>98370</v>
      </c>
    </row>
    <row r="20" spans="1:10" x14ac:dyDescent="0.3">
      <c r="A20" s="21" t="s">
        <v>37</v>
      </c>
      <c r="B20" s="21" t="s">
        <v>38</v>
      </c>
      <c r="C20" s="1">
        <v>2006</v>
      </c>
      <c r="D20" s="1" t="s">
        <v>151</v>
      </c>
      <c r="E20" s="1" t="s">
        <v>201</v>
      </c>
      <c r="F20" s="1" t="s">
        <v>209</v>
      </c>
      <c r="H20" s="1">
        <v>2004</v>
      </c>
      <c r="J20" s="1">
        <v>62787</v>
      </c>
    </row>
    <row r="21" spans="1:10" x14ac:dyDescent="0.3">
      <c r="A21" s="21" t="s">
        <v>37</v>
      </c>
      <c r="B21" s="21" t="s">
        <v>38</v>
      </c>
      <c r="C21" s="1">
        <v>2006</v>
      </c>
      <c r="D21" s="1" t="s">
        <v>151</v>
      </c>
      <c r="E21" s="1" t="s">
        <v>201</v>
      </c>
      <c r="F21" s="1" t="s">
        <v>210</v>
      </c>
      <c r="H21" s="1">
        <v>2004</v>
      </c>
      <c r="J21" s="1">
        <v>17522</v>
      </c>
    </row>
    <row r="22" spans="1:10" x14ac:dyDescent="0.3">
      <c r="A22" s="21" t="s">
        <v>37</v>
      </c>
      <c r="B22" s="21" t="s">
        <v>38</v>
      </c>
      <c r="C22" s="1">
        <v>2006</v>
      </c>
      <c r="D22" s="1" t="s">
        <v>151</v>
      </c>
      <c r="E22" s="1" t="s">
        <v>201</v>
      </c>
      <c r="F22" s="1" t="s">
        <v>202</v>
      </c>
      <c r="H22" s="1">
        <v>2005</v>
      </c>
      <c r="J22" s="1">
        <v>5145031</v>
      </c>
    </row>
    <row r="23" spans="1:10" x14ac:dyDescent="0.3">
      <c r="A23" s="21" t="s">
        <v>37</v>
      </c>
      <c r="B23" s="21" t="s">
        <v>38</v>
      </c>
      <c r="C23" s="1">
        <v>2006</v>
      </c>
      <c r="D23" s="1" t="s">
        <v>151</v>
      </c>
      <c r="E23" s="1" t="s">
        <v>201</v>
      </c>
      <c r="F23" s="1" t="s">
        <v>204</v>
      </c>
      <c r="H23" s="1">
        <v>2005</v>
      </c>
      <c r="J23" s="1">
        <v>1193642</v>
      </c>
    </row>
    <row r="24" spans="1:10" x14ac:dyDescent="0.3">
      <c r="A24" s="21" t="s">
        <v>37</v>
      </c>
      <c r="B24" s="21" t="s">
        <v>38</v>
      </c>
      <c r="C24" s="1">
        <v>2006</v>
      </c>
      <c r="D24" s="1" t="s">
        <v>151</v>
      </c>
      <c r="E24" s="1" t="s">
        <v>201</v>
      </c>
      <c r="F24" s="1" t="s">
        <v>205</v>
      </c>
      <c r="H24" s="1">
        <v>2005</v>
      </c>
      <c r="J24" s="1">
        <v>391996</v>
      </c>
    </row>
    <row r="25" spans="1:10" x14ac:dyDescent="0.3">
      <c r="A25" s="21" t="s">
        <v>37</v>
      </c>
      <c r="B25" s="21" t="s">
        <v>38</v>
      </c>
      <c r="C25" s="1">
        <v>2006</v>
      </c>
      <c r="D25" s="1" t="s">
        <v>151</v>
      </c>
      <c r="E25" s="1" t="s">
        <v>201</v>
      </c>
      <c r="F25" s="1" t="s">
        <v>206</v>
      </c>
      <c r="H25" s="1">
        <v>2005</v>
      </c>
      <c r="J25" s="1">
        <v>264331</v>
      </c>
    </row>
    <row r="26" spans="1:10" x14ac:dyDescent="0.3">
      <c r="A26" s="21" t="s">
        <v>37</v>
      </c>
      <c r="B26" s="21" t="s">
        <v>38</v>
      </c>
      <c r="C26" s="1">
        <v>2006</v>
      </c>
      <c r="D26" s="1" t="s">
        <v>151</v>
      </c>
      <c r="E26" s="1" t="s">
        <v>201</v>
      </c>
      <c r="F26" s="1" t="s">
        <v>207</v>
      </c>
      <c r="H26" s="1">
        <v>2005</v>
      </c>
      <c r="J26" s="1">
        <v>102190</v>
      </c>
    </row>
    <row r="27" spans="1:10" x14ac:dyDescent="0.3">
      <c r="A27" s="21" t="s">
        <v>37</v>
      </c>
      <c r="B27" s="21" t="s">
        <v>38</v>
      </c>
      <c r="C27" s="1">
        <v>2006</v>
      </c>
      <c r="D27" s="1" t="s">
        <v>151</v>
      </c>
      <c r="E27" s="1" t="s">
        <v>201</v>
      </c>
      <c r="F27" s="1" t="s">
        <v>209</v>
      </c>
      <c r="H27" s="1">
        <v>2005</v>
      </c>
      <c r="J27" s="1">
        <v>57813</v>
      </c>
    </row>
    <row r="28" spans="1:10" x14ac:dyDescent="0.3">
      <c r="A28" s="21" t="s">
        <v>37</v>
      </c>
      <c r="B28" s="21" t="s">
        <v>38</v>
      </c>
      <c r="C28" s="1">
        <v>2006</v>
      </c>
      <c r="D28" s="1" t="s">
        <v>151</v>
      </c>
      <c r="E28" s="1" t="s">
        <v>201</v>
      </c>
      <c r="F28" s="1" t="s">
        <v>210</v>
      </c>
      <c r="H28" s="1">
        <v>2005</v>
      </c>
      <c r="J28" s="1">
        <v>20754</v>
      </c>
    </row>
    <row r="29" spans="1:10" x14ac:dyDescent="0.3">
      <c r="A29" s="1" t="str">
        <f>$A$14</f>
        <v>PA2408010</v>
      </c>
      <c r="B29" s="21" t="s">
        <v>38</v>
      </c>
      <c r="C29" s="1" t="s">
        <v>211</v>
      </c>
      <c r="D29" s="1" t="s">
        <v>151</v>
      </c>
      <c r="E29" s="1" t="s">
        <v>201</v>
      </c>
      <c r="F29" s="1" t="s">
        <v>202</v>
      </c>
      <c r="H29" s="1">
        <v>2007</v>
      </c>
      <c r="J29" s="27">
        <f>0.651*7518696</f>
        <v>4894671.0959999999</v>
      </c>
    </row>
    <row r="30" spans="1:10" x14ac:dyDescent="0.3">
      <c r="A30" s="1" t="str">
        <f t="shared" ref="A30:A46" si="0">$A$14</f>
        <v>PA2408010</v>
      </c>
      <c r="B30" s="21" t="s">
        <v>38</v>
      </c>
      <c r="C30" s="1" t="s">
        <v>211</v>
      </c>
      <c r="D30" s="1" t="s">
        <v>151</v>
      </c>
      <c r="E30" s="1" t="s">
        <v>201</v>
      </c>
      <c r="F30" s="1" t="s">
        <v>204</v>
      </c>
      <c r="H30" s="1">
        <v>2007</v>
      </c>
      <c r="J30" s="27">
        <f>7518696*0.153</f>
        <v>1150360.4879999999</v>
      </c>
    </row>
    <row r="31" spans="1:10" x14ac:dyDescent="0.3">
      <c r="A31" s="1" t="str">
        <f t="shared" si="0"/>
        <v>PA2408010</v>
      </c>
      <c r="B31" s="21" t="s">
        <v>38</v>
      </c>
      <c r="C31" s="1" t="s">
        <v>211</v>
      </c>
      <c r="D31" s="1" t="s">
        <v>151</v>
      </c>
      <c r="E31" s="1" t="s">
        <v>201</v>
      </c>
      <c r="F31" s="1" t="s">
        <v>205</v>
      </c>
      <c r="H31" s="1">
        <v>2007</v>
      </c>
      <c r="J31" s="27">
        <f>7518696*0.052</f>
        <v>390972.19199999998</v>
      </c>
    </row>
    <row r="32" spans="1:10" x14ac:dyDescent="0.3">
      <c r="A32" s="1" t="str">
        <f t="shared" si="0"/>
        <v>PA2408010</v>
      </c>
      <c r="B32" s="21" t="s">
        <v>38</v>
      </c>
      <c r="C32" s="1" t="s">
        <v>211</v>
      </c>
      <c r="D32" s="1" t="s">
        <v>151</v>
      </c>
      <c r="E32" s="1" t="s">
        <v>201</v>
      </c>
      <c r="F32" s="1" t="s">
        <v>206</v>
      </c>
      <c r="H32" s="1">
        <v>2007</v>
      </c>
      <c r="J32" s="27">
        <f>7518696*0.013</f>
        <v>97743.047999999995</v>
      </c>
    </row>
    <row r="33" spans="1:13" x14ac:dyDescent="0.3">
      <c r="A33" s="1" t="str">
        <f t="shared" si="0"/>
        <v>PA2408010</v>
      </c>
      <c r="B33" s="21" t="s">
        <v>38</v>
      </c>
      <c r="C33" s="1" t="s">
        <v>211</v>
      </c>
      <c r="D33" s="1" t="s">
        <v>151</v>
      </c>
      <c r="E33" s="1" t="s">
        <v>201</v>
      </c>
      <c r="F33" s="1" t="s">
        <v>208</v>
      </c>
      <c r="H33" s="1">
        <v>2007</v>
      </c>
      <c r="J33" s="27">
        <f>7518696*0.01</f>
        <v>75186.960000000006</v>
      </c>
    </row>
    <row r="34" spans="1:13" x14ac:dyDescent="0.3">
      <c r="A34" s="1" t="str">
        <f t="shared" si="0"/>
        <v>PA2408010</v>
      </c>
      <c r="B34" s="21" t="s">
        <v>38</v>
      </c>
      <c r="C34" s="1" t="s">
        <v>211</v>
      </c>
      <c r="D34" s="1" t="s">
        <v>151</v>
      </c>
      <c r="E34" s="1" t="s">
        <v>201</v>
      </c>
      <c r="F34" s="1" t="s">
        <v>207</v>
      </c>
      <c r="H34" s="1">
        <v>2007</v>
      </c>
      <c r="J34" s="36">
        <f>0.012*7518696</f>
        <v>90224.351999999999</v>
      </c>
      <c r="K34" s="36"/>
      <c r="L34" s="36"/>
      <c r="M34" s="36"/>
    </row>
    <row r="35" spans="1:13" x14ac:dyDescent="0.3">
      <c r="A35" s="1" t="str">
        <f t="shared" si="0"/>
        <v>PA2408010</v>
      </c>
      <c r="B35" s="21" t="s">
        <v>38</v>
      </c>
      <c r="C35" s="1" t="s">
        <v>211</v>
      </c>
      <c r="D35" s="1" t="s">
        <v>151</v>
      </c>
      <c r="E35" s="1" t="s">
        <v>201</v>
      </c>
      <c r="F35" s="1" t="s">
        <v>202</v>
      </c>
      <c r="H35" s="1">
        <v>2008</v>
      </c>
      <c r="J35" s="27">
        <f>0.654*7686191</f>
        <v>5026768.9139999999</v>
      </c>
    </row>
    <row r="36" spans="1:13" x14ac:dyDescent="0.3">
      <c r="A36" s="1" t="str">
        <f t="shared" si="0"/>
        <v>PA2408010</v>
      </c>
      <c r="B36" s="21" t="s">
        <v>38</v>
      </c>
      <c r="C36" s="1" t="s">
        <v>211</v>
      </c>
      <c r="D36" s="1" t="s">
        <v>151</v>
      </c>
      <c r="E36" s="1" t="s">
        <v>201</v>
      </c>
      <c r="F36" s="1" t="s">
        <v>204</v>
      </c>
      <c r="H36" s="1">
        <f>$H$35</f>
        <v>2008</v>
      </c>
      <c r="J36" s="27">
        <f>0.155*7686191</f>
        <v>1191359.605</v>
      </c>
    </row>
    <row r="37" spans="1:13" x14ac:dyDescent="0.3">
      <c r="A37" s="1" t="str">
        <f t="shared" si="0"/>
        <v>PA2408010</v>
      </c>
      <c r="B37" s="21" t="s">
        <v>38</v>
      </c>
      <c r="C37" s="1" t="s">
        <v>211</v>
      </c>
      <c r="D37" s="1" t="s">
        <v>151</v>
      </c>
      <c r="E37" s="1" t="s">
        <v>201</v>
      </c>
      <c r="F37" s="1" t="s">
        <v>205</v>
      </c>
      <c r="H37" s="1">
        <f>$H$35</f>
        <v>2008</v>
      </c>
      <c r="J37" s="27">
        <f>7686191*0.053</f>
        <v>407368.12299999996</v>
      </c>
    </row>
    <row r="38" spans="1:13" x14ac:dyDescent="0.3">
      <c r="A38" s="1" t="str">
        <f t="shared" si="0"/>
        <v>PA2408010</v>
      </c>
      <c r="B38" s="21" t="s">
        <v>38</v>
      </c>
      <c r="C38" s="1" t="s">
        <v>211</v>
      </c>
      <c r="D38" s="1" t="s">
        <v>151</v>
      </c>
      <c r="E38" s="1" t="s">
        <v>201</v>
      </c>
      <c r="F38" s="1" t="s">
        <v>206</v>
      </c>
      <c r="H38" s="1">
        <f>$H$35</f>
        <v>2008</v>
      </c>
      <c r="J38" s="27">
        <f xml:space="preserve"> 7686191*0.012</f>
        <v>92234.292000000001</v>
      </c>
    </row>
    <row r="39" spans="1:13" x14ac:dyDescent="0.3">
      <c r="A39" s="1" t="str">
        <f t="shared" si="0"/>
        <v>PA2408010</v>
      </c>
      <c r="B39" s="21" t="s">
        <v>38</v>
      </c>
      <c r="C39" s="1" t="s">
        <v>211</v>
      </c>
      <c r="D39" s="1" t="s">
        <v>151</v>
      </c>
      <c r="E39" s="1" t="s">
        <v>201</v>
      </c>
      <c r="F39" s="1" t="s">
        <v>208</v>
      </c>
      <c r="H39" s="1">
        <f>$H$35</f>
        <v>2008</v>
      </c>
      <c r="J39" s="27">
        <f>7686191*0.01</f>
        <v>76861.91</v>
      </c>
    </row>
    <row r="40" spans="1:13" x14ac:dyDescent="0.3">
      <c r="A40" s="1" t="str">
        <f t="shared" si="0"/>
        <v>PA2408010</v>
      </c>
      <c r="B40" s="21" t="s">
        <v>38</v>
      </c>
      <c r="C40" s="1" t="s">
        <v>211</v>
      </c>
      <c r="D40" s="1" t="s">
        <v>151</v>
      </c>
      <c r="E40" s="1" t="s">
        <v>201</v>
      </c>
      <c r="F40" s="1" t="s">
        <v>207</v>
      </c>
      <c r="H40" s="1">
        <f>$H$35</f>
        <v>2008</v>
      </c>
      <c r="J40" s="27">
        <f>0.035*7686191</f>
        <v>269016.685</v>
      </c>
    </row>
    <row r="41" spans="1:13" x14ac:dyDescent="0.3">
      <c r="A41" s="1" t="str">
        <f t="shared" si="0"/>
        <v>PA2408010</v>
      </c>
      <c r="B41" s="21" t="s">
        <v>38</v>
      </c>
      <c r="C41" s="1" t="s">
        <v>211</v>
      </c>
      <c r="D41" s="1" t="s">
        <v>151</v>
      </c>
      <c r="E41" s="1" t="s">
        <v>201</v>
      </c>
      <c r="F41" s="1" t="s">
        <v>202</v>
      </c>
      <c r="H41" s="1">
        <v>2009</v>
      </c>
      <c r="J41" s="27">
        <f>8242741*0.682</f>
        <v>5621549.3620000007</v>
      </c>
    </row>
    <row r="42" spans="1:13" x14ac:dyDescent="0.3">
      <c r="A42" s="1" t="str">
        <f t="shared" si="0"/>
        <v>PA2408010</v>
      </c>
      <c r="B42" s="21" t="s">
        <v>38</v>
      </c>
      <c r="C42" s="1" t="s">
        <v>211</v>
      </c>
      <c r="D42" s="1" t="s">
        <v>151</v>
      </c>
      <c r="E42" s="1" t="s">
        <v>201</v>
      </c>
      <c r="F42" s="1" t="s">
        <v>204</v>
      </c>
      <c r="H42" s="1">
        <f>H41</f>
        <v>2009</v>
      </c>
      <c r="J42" s="27">
        <f>8242741*0.145</f>
        <v>1195197.4449999998</v>
      </c>
    </row>
    <row r="43" spans="1:13" x14ac:dyDescent="0.3">
      <c r="A43" s="1" t="str">
        <f t="shared" si="0"/>
        <v>PA2408010</v>
      </c>
      <c r="B43" s="21" t="s">
        <v>38</v>
      </c>
      <c r="C43" s="1" t="s">
        <v>211</v>
      </c>
      <c r="D43" s="1" t="s">
        <v>151</v>
      </c>
      <c r="E43" s="1" t="s">
        <v>201</v>
      </c>
      <c r="F43" s="1" t="s">
        <v>205</v>
      </c>
      <c r="H43" s="1">
        <f t="shared" ref="H43:H46" si="1">H42</f>
        <v>2009</v>
      </c>
      <c r="J43" s="27">
        <f>8242741*0.054</f>
        <v>445108.01399999997</v>
      </c>
    </row>
    <row r="44" spans="1:13" x14ac:dyDescent="0.3">
      <c r="A44" s="1" t="str">
        <f t="shared" si="0"/>
        <v>PA2408010</v>
      </c>
      <c r="B44" s="21" t="s">
        <v>38</v>
      </c>
      <c r="C44" s="1" t="s">
        <v>211</v>
      </c>
      <c r="D44" s="1" t="s">
        <v>151</v>
      </c>
      <c r="E44" s="1" t="s">
        <v>201</v>
      </c>
      <c r="F44" s="1" t="s">
        <v>206</v>
      </c>
      <c r="H44" s="1">
        <f t="shared" si="1"/>
        <v>2009</v>
      </c>
      <c r="J44" s="27">
        <f>8242741*0.014</f>
        <v>115398.374</v>
      </c>
    </row>
    <row r="45" spans="1:13" x14ac:dyDescent="0.3">
      <c r="A45" s="1" t="str">
        <f t="shared" si="0"/>
        <v>PA2408010</v>
      </c>
      <c r="B45" s="21" t="s">
        <v>38</v>
      </c>
      <c r="C45" s="1" t="s">
        <v>211</v>
      </c>
      <c r="D45" s="1" t="s">
        <v>151</v>
      </c>
      <c r="E45" s="1" t="s">
        <v>201</v>
      </c>
      <c r="F45" s="1" t="s">
        <v>208</v>
      </c>
      <c r="H45" s="1">
        <f t="shared" si="1"/>
        <v>2009</v>
      </c>
      <c r="J45" s="27">
        <f>8242741*0.01</f>
        <v>82427.41</v>
      </c>
    </row>
    <row r="46" spans="1:13" x14ac:dyDescent="0.3">
      <c r="A46" s="1" t="str">
        <f t="shared" si="0"/>
        <v>PA2408010</v>
      </c>
      <c r="B46" s="21" t="s">
        <v>38</v>
      </c>
      <c r="C46" s="1" t="s">
        <v>211</v>
      </c>
      <c r="D46" s="1" t="s">
        <v>151</v>
      </c>
      <c r="E46" s="1" t="s">
        <v>201</v>
      </c>
      <c r="F46" s="1" t="s">
        <v>207</v>
      </c>
      <c r="H46" s="1">
        <f t="shared" si="1"/>
        <v>2009</v>
      </c>
      <c r="J46" s="27">
        <f>0.036*8242741</f>
        <v>296738.67599999998</v>
      </c>
    </row>
  </sheetData>
  <phoneticPr fontId="5" type="noConversion"/>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L28"/>
  <sheetViews>
    <sheetView workbookViewId="0">
      <selection activeCell="I15" sqref="I15:I21"/>
    </sheetView>
  </sheetViews>
  <sheetFormatPr defaultColWidth="8.88671875" defaultRowHeight="14.4" x14ac:dyDescent="0.3"/>
  <cols>
    <col min="1" max="1" width="10.109375" style="1" bestFit="1" customWidth="1"/>
    <col min="2" max="2" width="27.88671875" style="1" bestFit="1" customWidth="1"/>
    <col min="3" max="3" width="8.88671875" style="1"/>
    <col min="4" max="4" width="11.33203125" style="1" bestFit="1" customWidth="1"/>
    <col min="5" max="5" width="11.88671875" style="1" bestFit="1" customWidth="1"/>
    <col min="6" max="6" width="11.109375" style="1" bestFit="1" customWidth="1"/>
    <col min="7" max="7" width="9.44140625" style="1" bestFit="1" customWidth="1"/>
    <col min="8" max="9" width="8.88671875" style="1"/>
    <col min="10" max="10" width="11.88671875" style="1" bestFit="1" customWidth="1"/>
    <col min="11" max="11" width="10" style="1" bestFit="1" customWidth="1"/>
    <col min="12" max="16384" width="8.88671875" style="1"/>
  </cols>
  <sheetData>
    <row r="1" spans="1:12" x14ac:dyDescent="0.3">
      <c r="A1" s="2" t="s">
        <v>17</v>
      </c>
      <c r="B1" s="2" t="s">
        <v>18</v>
      </c>
      <c r="C1" s="2" t="s">
        <v>19</v>
      </c>
      <c r="D1" s="2" t="s">
        <v>20</v>
      </c>
      <c r="E1" s="2" t="s">
        <v>196</v>
      </c>
      <c r="F1" s="2" t="s">
        <v>212</v>
      </c>
      <c r="G1" s="2" t="s">
        <v>197</v>
      </c>
      <c r="H1" s="2" t="s">
        <v>97</v>
      </c>
      <c r="I1" s="2" t="s">
        <v>200</v>
      </c>
      <c r="J1" s="2" t="s">
        <v>213</v>
      </c>
      <c r="K1" s="4" t="s">
        <v>214</v>
      </c>
      <c r="L1" s="4" t="s">
        <v>36</v>
      </c>
    </row>
    <row r="2" spans="1:12" x14ac:dyDescent="0.3">
      <c r="A2" s="21" t="s">
        <v>37</v>
      </c>
      <c r="B2" s="21" t="s">
        <v>38</v>
      </c>
      <c r="C2" s="1">
        <v>1992</v>
      </c>
      <c r="D2" s="1" t="s">
        <v>151</v>
      </c>
      <c r="E2" s="1" t="s">
        <v>215</v>
      </c>
      <c r="F2" s="1" t="s">
        <v>216</v>
      </c>
      <c r="G2" s="1" t="s">
        <v>202</v>
      </c>
      <c r="H2" s="1">
        <v>1992</v>
      </c>
      <c r="I2" s="1">
        <v>3166347</v>
      </c>
      <c r="L2" s="1" t="s">
        <v>217</v>
      </c>
    </row>
    <row r="3" spans="1:12" x14ac:dyDescent="0.3">
      <c r="A3" s="21" t="s">
        <v>37</v>
      </c>
      <c r="B3" s="21" t="s">
        <v>38</v>
      </c>
      <c r="C3" s="1">
        <v>1993</v>
      </c>
      <c r="D3" s="1" t="s">
        <v>151</v>
      </c>
      <c r="E3" s="1" t="s">
        <v>215</v>
      </c>
      <c r="F3" s="1" t="s">
        <v>216</v>
      </c>
      <c r="G3" s="1" t="s">
        <v>204</v>
      </c>
      <c r="H3" s="1">
        <v>1992</v>
      </c>
      <c r="I3" s="1">
        <v>486919</v>
      </c>
    </row>
    <row r="4" spans="1:12" x14ac:dyDescent="0.3">
      <c r="A4" s="21" t="s">
        <v>37</v>
      </c>
      <c r="B4" s="21" t="s">
        <v>38</v>
      </c>
      <c r="C4" s="1">
        <v>1994</v>
      </c>
      <c r="D4" s="1" t="s">
        <v>151</v>
      </c>
      <c r="E4" s="1" t="s">
        <v>215</v>
      </c>
      <c r="F4" s="1" t="s">
        <v>216</v>
      </c>
      <c r="G4" s="1" t="s">
        <v>205</v>
      </c>
      <c r="H4" s="1">
        <v>1992</v>
      </c>
      <c r="I4" s="1">
        <v>681280</v>
      </c>
    </row>
    <row r="5" spans="1:12" x14ac:dyDescent="0.3">
      <c r="A5" s="21" t="s">
        <v>37</v>
      </c>
      <c r="B5" s="21" t="s">
        <v>38</v>
      </c>
      <c r="C5" s="1">
        <v>1995</v>
      </c>
      <c r="D5" s="1" t="s">
        <v>151</v>
      </c>
      <c r="E5" s="1" t="s">
        <v>215</v>
      </c>
      <c r="F5" s="1" t="s">
        <v>216</v>
      </c>
      <c r="G5" s="1" t="s">
        <v>206</v>
      </c>
      <c r="H5" s="1">
        <v>1992</v>
      </c>
      <c r="I5" s="1">
        <v>88177</v>
      </c>
    </row>
    <row r="6" spans="1:12" x14ac:dyDescent="0.3">
      <c r="A6" s="21" t="s">
        <v>37</v>
      </c>
      <c r="B6" s="21" t="s">
        <v>38</v>
      </c>
      <c r="C6" s="1">
        <v>1996</v>
      </c>
      <c r="D6" s="1" t="s">
        <v>151</v>
      </c>
      <c r="E6" s="1" t="s">
        <v>215</v>
      </c>
      <c r="F6" s="1" t="s">
        <v>216</v>
      </c>
      <c r="G6" s="1" t="s">
        <v>207</v>
      </c>
      <c r="H6" s="1">
        <v>1992</v>
      </c>
      <c r="I6" s="1">
        <v>143966</v>
      </c>
    </row>
    <row r="7" spans="1:12" x14ac:dyDescent="0.3">
      <c r="A7" s="21" t="s">
        <v>37</v>
      </c>
      <c r="B7" s="21" t="s">
        <v>38</v>
      </c>
      <c r="C7" s="1">
        <v>1997</v>
      </c>
      <c r="D7" s="1" t="s">
        <v>151</v>
      </c>
      <c r="E7" s="1" t="s">
        <v>215</v>
      </c>
      <c r="F7" s="1" t="s">
        <v>216</v>
      </c>
      <c r="G7" s="1" t="s">
        <v>218</v>
      </c>
      <c r="H7" s="1">
        <v>1992</v>
      </c>
      <c r="I7" s="1">
        <v>34901</v>
      </c>
    </row>
    <row r="8" spans="1:12" x14ac:dyDescent="0.3">
      <c r="A8" s="21"/>
      <c r="B8" s="21" t="s">
        <v>38</v>
      </c>
      <c r="C8" s="1">
        <v>2006</v>
      </c>
      <c r="D8" s="1" t="s">
        <v>151</v>
      </c>
      <c r="E8" s="1" t="s">
        <v>215</v>
      </c>
      <c r="F8" s="21" t="s">
        <v>38</v>
      </c>
      <c r="G8" s="1" t="s">
        <v>202</v>
      </c>
      <c r="H8" s="1">
        <v>2003</v>
      </c>
      <c r="I8" s="1">
        <v>4719420</v>
      </c>
    </row>
    <row r="9" spans="1:12" x14ac:dyDescent="0.3">
      <c r="A9" s="21"/>
      <c r="B9" s="21" t="s">
        <v>38</v>
      </c>
      <c r="C9" s="1">
        <v>2006</v>
      </c>
      <c r="D9" s="1" t="s">
        <v>151</v>
      </c>
      <c r="E9" s="1" t="s">
        <v>215</v>
      </c>
      <c r="F9" s="21" t="s">
        <v>38</v>
      </c>
      <c r="G9" s="1" t="s">
        <v>204</v>
      </c>
      <c r="H9" s="1">
        <v>2003</v>
      </c>
      <c r="I9" s="1">
        <v>1083363</v>
      </c>
    </row>
    <row r="10" spans="1:12" x14ac:dyDescent="0.3">
      <c r="B10" s="21" t="s">
        <v>38</v>
      </c>
      <c r="C10" s="1">
        <v>2006</v>
      </c>
      <c r="D10" s="1" t="s">
        <v>151</v>
      </c>
      <c r="E10" s="1" t="s">
        <v>215</v>
      </c>
      <c r="F10" s="21" t="s">
        <v>38</v>
      </c>
      <c r="G10" s="1" t="s">
        <v>205</v>
      </c>
      <c r="H10" s="1">
        <v>2003</v>
      </c>
      <c r="I10" s="1">
        <v>417142</v>
      </c>
    </row>
    <row r="11" spans="1:12" x14ac:dyDescent="0.3">
      <c r="B11" s="21" t="s">
        <v>38</v>
      </c>
      <c r="C11" s="1">
        <v>2006</v>
      </c>
      <c r="D11" s="1" t="s">
        <v>151</v>
      </c>
      <c r="E11" s="1" t="s">
        <v>215</v>
      </c>
      <c r="F11" s="21" t="s">
        <v>38</v>
      </c>
      <c r="G11" s="1" t="s">
        <v>206</v>
      </c>
      <c r="H11" s="1">
        <v>2003</v>
      </c>
      <c r="I11" s="1">
        <v>89608</v>
      </c>
    </row>
    <row r="12" spans="1:12" x14ac:dyDescent="0.3">
      <c r="B12" s="21" t="s">
        <v>38</v>
      </c>
      <c r="C12" s="1">
        <v>2006</v>
      </c>
      <c r="D12" s="1" t="s">
        <v>151</v>
      </c>
      <c r="E12" s="1" t="s">
        <v>215</v>
      </c>
      <c r="F12" s="21" t="s">
        <v>38</v>
      </c>
      <c r="G12" s="1" t="s">
        <v>207</v>
      </c>
      <c r="H12" s="1">
        <v>2003</v>
      </c>
      <c r="I12" s="1">
        <v>249526</v>
      </c>
    </row>
    <row r="13" spans="1:12" x14ac:dyDescent="0.3">
      <c r="B13" s="21" t="s">
        <v>38</v>
      </c>
      <c r="C13" s="1">
        <v>2006</v>
      </c>
      <c r="D13" s="1" t="s">
        <v>151</v>
      </c>
      <c r="E13" s="1" t="s">
        <v>215</v>
      </c>
      <c r="F13" s="21" t="s">
        <v>38</v>
      </c>
      <c r="G13" s="1" t="s">
        <v>209</v>
      </c>
      <c r="H13" s="1">
        <v>2003</v>
      </c>
      <c r="I13" s="1">
        <v>59222</v>
      </c>
    </row>
    <row r="14" spans="1:12" x14ac:dyDescent="0.3">
      <c r="B14" s="21" t="s">
        <v>38</v>
      </c>
      <c r="C14" s="1">
        <v>2006</v>
      </c>
      <c r="D14" s="1" t="s">
        <v>151</v>
      </c>
      <c r="E14" s="1" t="s">
        <v>215</v>
      </c>
      <c r="F14" s="21" t="s">
        <v>38</v>
      </c>
      <c r="G14" s="1" t="s">
        <v>219</v>
      </c>
      <c r="H14" s="1">
        <v>2003</v>
      </c>
      <c r="I14" s="1">
        <v>13959</v>
      </c>
    </row>
    <row r="15" spans="1:12" x14ac:dyDescent="0.3">
      <c r="B15" s="21" t="s">
        <v>38</v>
      </c>
      <c r="C15" s="1">
        <v>2006</v>
      </c>
      <c r="D15" s="1" t="s">
        <v>151</v>
      </c>
      <c r="E15" s="1" t="s">
        <v>215</v>
      </c>
      <c r="F15" s="21" t="s">
        <v>38</v>
      </c>
      <c r="G15" s="1" t="s">
        <v>202</v>
      </c>
      <c r="H15" s="1">
        <v>2004</v>
      </c>
      <c r="I15" s="1">
        <v>4956016</v>
      </c>
    </row>
    <row r="16" spans="1:12" x14ac:dyDescent="0.3">
      <c r="B16" s="21" t="s">
        <v>38</v>
      </c>
      <c r="C16" s="1">
        <v>2006</v>
      </c>
      <c r="D16" s="1" t="s">
        <v>151</v>
      </c>
      <c r="E16" s="1" t="s">
        <v>215</v>
      </c>
      <c r="F16" s="21" t="s">
        <v>38</v>
      </c>
      <c r="G16" s="1" t="s">
        <v>204</v>
      </c>
      <c r="H16" s="1">
        <v>2004</v>
      </c>
      <c r="I16" s="1">
        <v>1124550</v>
      </c>
    </row>
    <row r="17" spans="1:9" x14ac:dyDescent="0.3">
      <c r="B17" s="21" t="s">
        <v>38</v>
      </c>
      <c r="C17" s="1">
        <v>2006</v>
      </c>
      <c r="D17" s="1" t="s">
        <v>151</v>
      </c>
      <c r="E17" s="1" t="s">
        <v>215</v>
      </c>
      <c r="F17" s="21" t="s">
        <v>38</v>
      </c>
      <c r="G17" s="1" t="s">
        <v>205</v>
      </c>
      <c r="H17" s="1">
        <v>2004</v>
      </c>
      <c r="I17" s="1">
        <v>401174</v>
      </c>
    </row>
    <row r="18" spans="1:9" x14ac:dyDescent="0.3">
      <c r="B18" s="21" t="s">
        <v>38</v>
      </c>
      <c r="C18" s="1">
        <v>2006</v>
      </c>
      <c r="D18" s="1" t="s">
        <v>151</v>
      </c>
      <c r="E18" s="1" t="s">
        <v>215</v>
      </c>
      <c r="F18" s="21" t="s">
        <v>38</v>
      </c>
      <c r="G18" s="1" t="s">
        <v>206</v>
      </c>
      <c r="H18" s="1">
        <v>2004</v>
      </c>
      <c r="I18" s="1">
        <v>258211</v>
      </c>
    </row>
    <row r="19" spans="1:9" x14ac:dyDescent="0.3">
      <c r="B19" s="21" t="s">
        <v>38</v>
      </c>
      <c r="C19" s="1">
        <v>2006</v>
      </c>
      <c r="D19" s="1" t="s">
        <v>151</v>
      </c>
      <c r="E19" s="1" t="s">
        <v>215</v>
      </c>
      <c r="F19" s="21" t="s">
        <v>38</v>
      </c>
      <c r="G19" s="1" t="s">
        <v>207</v>
      </c>
      <c r="H19" s="1">
        <v>2004</v>
      </c>
      <c r="I19" s="1">
        <v>98370</v>
      </c>
    </row>
    <row r="20" spans="1:9" x14ac:dyDescent="0.3">
      <c r="B20" s="21" t="s">
        <v>38</v>
      </c>
      <c r="C20" s="1">
        <v>2006</v>
      </c>
      <c r="D20" s="1" t="s">
        <v>151</v>
      </c>
      <c r="E20" s="1" t="s">
        <v>215</v>
      </c>
      <c r="F20" s="21" t="s">
        <v>38</v>
      </c>
      <c r="G20" s="1" t="s">
        <v>209</v>
      </c>
      <c r="H20" s="1">
        <v>2004</v>
      </c>
      <c r="I20" s="1">
        <v>62787</v>
      </c>
    </row>
    <row r="21" spans="1:9" x14ac:dyDescent="0.3">
      <c r="B21" s="21" t="s">
        <v>38</v>
      </c>
      <c r="C21" s="1">
        <v>2006</v>
      </c>
      <c r="D21" s="1" t="s">
        <v>151</v>
      </c>
      <c r="E21" s="1" t="s">
        <v>215</v>
      </c>
      <c r="F21" s="21" t="s">
        <v>38</v>
      </c>
      <c r="G21" s="1" t="s">
        <v>219</v>
      </c>
      <c r="H21" s="1">
        <v>2004</v>
      </c>
      <c r="I21" s="1">
        <v>17522</v>
      </c>
    </row>
    <row r="22" spans="1:9" x14ac:dyDescent="0.3">
      <c r="A22" s="21" t="s">
        <v>37</v>
      </c>
      <c r="B22" s="21" t="s">
        <v>38</v>
      </c>
      <c r="C22" s="1">
        <v>2006</v>
      </c>
      <c r="D22" s="1" t="s">
        <v>151</v>
      </c>
      <c r="E22" s="1" t="s">
        <v>215</v>
      </c>
      <c r="F22" s="21" t="s">
        <v>38</v>
      </c>
      <c r="G22" s="1" t="s">
        <v>202</v>
      </c>
      <c r="H22" s="1">
        <v>2005</v>
      </c>
      <c r="I22" s="1">
        <v>5145031</v>
      </c>
    </row>
    <row r="23" spans="1:9" x14ac:dyDescent="0.3">
      <c r="A23" s="21" t="s">
        <v>37</v>
      </c>
      <c r="B23" s="21" t="s">
        <v>38</v>
      </c>
      <c r="C23" s="1">
        <v>2006</v>
      </c>
      <c r="D23" s="1" t="s">
        <v>151</v>
      </c>
      <c r="E23" s="1" t="s">
        <v>215</v>
      </c>
      <c r="F23" s="21" t="s">
        <v>38</v>
      </c>
      <c r="G23" s="1" t="s">
        <v>204</v>
      </c>
      <c r="H23" s="1">
        <v>2005</v>
      </c>
      <c r="I23" s="1">
        <v>1193642</v>
      </c>
    </row>
    <row r="24" spans="1:9" x14ac:dyDescent="0.3">
      <c r="A24" s="21" t="s">
        <v>37</v>
      </c>
      <c r="B24" s="21" t="s">
        <v>38</v>
      </c>
      <c r="C24" s="1">
        <v>2006</v>
      </c>
      <c r="D24" s="1" t="s">
        <v>151</v>
      </c>
      <c r="E24" s="1" t="s">
        <v>215</v>
      </c>
      <c r="F24" s="21" t="s">
        <v>38</v>
      </c>
      <c r="G24" s="1" t="s">
        <v>205</v>
      </c>
      <c r="H24" s="1">
        <v>2005</v>
      </c>
      <c r="I24" s="1">
        <v>391996</v>
      </c>
    </row>
    <row r="25" spans="1:9" x14ac:dyDescent="0.3">
      <c r="A25" s="21" t="s">
        <v>37</v>
      </c>
      <c r="B25" s="21" t="s">
        <v>38</v>
      </c>
      <c r="C25" s="1">
        <v>2006</v>
      </c>
      <c r="D25" s="1" t="s">
        <v>151</v>
      </c>
      <c r="E25" s="1" t="s">
        <v>215</v>
      </c>
      <c r="F25" s="21" t="s">
        <v>38</v>
      </c>
      <c r="G25" s="1" t="s">
        <v>206</v>
      </c>
      <c r="H25" s="1">
        <v>2005</v>
      </c>
      <c r="I25" s="1">
        <v>264331</v>
      </c>
    </row>
    <row r="26" spans="1:9" x14ac:dyDescent="0.3">
      <c r="A26" s="21" t="s">
        <v>37</v>
      </c>
      <c r="B26" s="21" t="s">
        <v>38</v>
      </c>
      <c r="C26" s="1">
        <v>2006</v>
      </c>
      <c r="D26" s="1" t="s">
        <v>151</v>
      </c>
      <c r="E26" s="1" t="s">
        <v>215</v>
      </c>
      <c r="F26" s="21" t="s">
        <v>38</v>
      </c>
      <c r="G26" s="1" t="s">
        <v>207</v>
      </c>
      <c r="H26" s="1">
        <v>2005</v>
      </c>
      <c r="I26" s="1">
        <v>102190</v>
      </c>
    </row>
    <row r="27" spans="1:9" x14ac:dyDescent="0.3">
      <c r="A27" s="21" t="s">
        <v>37</v>
      </c>
      <c r="B27" s="21" t="s">
        <v>38</v>
      </c>
      <c r="C27" s="1">
        <v>2006</v>
      </c>
      <c r="D27" s="1" t="s">
        <v>151</v>
      </c>
      <c r="E27" s="1" t="s">
        <v>215</v>
      </c>
      <c r="F27" s="21" t="s">
        <v>38</v>
      </c>
      <c r="G27" s="1" t="s">
        <v>209</v>
      </c>
      <c r="H27" s="1">
        <v>2005</v>
      </c>
      <c r="I27" s="1">
        <v>57813</v>
      </c>
    </row>
    <row r="28" spans="1:9" x14ac:dyDescent="0.3">
      <c r="A28" s="21" t="s">
        <v>37</v>
      </c>
      <c r="B28" s="21" t="s">
        <v>38</v>
      </c>
      <c r="C28" s="1">
        <v>2006</v>
      </c>
      <c r="D28" s="1" t="s">
        <v>151</v>
      </c>
      <c r="E28" s="1" t="s">
        <v>215</v>
      </c>
      <c r="F28" s="21" t="s">
        <v>38</v>
      </c>
      <c r="G28" s="1" t="s">
        <v>219</v>
      </c>
      <c r="H28" s="1">
        <v>2005</v>
      </c>
      <c r="I28" s="1">
        <v>20754</v>
      </c>
    </row>
  </sheetData>
  <phoneticPr fontId="5" type="noConversion"/>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H2"/>
  <sheetViews>
    <sheetView workbookViewId="0">
      <selection activeCell="D14" sqref="D14"/>
    </sheetView>
  </sheetViews>
  <sheetFormatPr defaultColWidth="8.88671875" defaultRowHeight="14.4" x14ac:dyDescent="0.3"/>
  <cols>
    <col min="1" max="1" width="10.109375" style="1" bestFit="1" customWidth="1"/>
    <col min="2" max="2" width="27.88671875" style="1" bestFit="1" customWidth="1"/>
    <col min="3" max="4" width="8.88671875" style="1"/>
    <col min="5" max="5" width="11.6640625" style="1" bestFit="1" customWidth="1"/>
    <col min="6" max="6" width="14.88671875" style="1" bestFit="1" customWidth="1"/>
    <col min="7" max="16384" width="8.88671875" style="1"/>
  </cols>
  <sheetData>
    <row r="1" spans="1:8" x14ac:dyDescent="0.3">
      <c r="A1" s="2" t="s">
        <v>17</v>
      </c>
      <c r="B1" s="2" t="s">
        <v>18</v>
      </c>
      <c r="C1" s="2" t="s">
        <v>19</v>
      </c>
      <c r="D1" s="2" t="s">
        <v>97</v>
      </c>
      <c r="E1" s="2" t="s">
        <v>220</v>
      </c>
      <c r="F1" s="2" t="s">
        <v>221</v>
      </c>
      <c r="G1" s="2" t="s">
        <v>222</v>
      </c>
      <c r="H1" s="2" t="s">
        <v>36</v>
      </c>
    </row>
    <row r="2" spans="1:8" x14ac:dyDescent="0.3">
      <c r="A2" s="21" t="s">
        <v>37</v>
      </c>
      <c r="B2" s="21" t="s">
        <v>38</v>
      </c>
      <c r="C2" s="22">
        <v>1992</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N21"/>
  <sheetViews>
    <sheetView workbookViewId="0">
      <selection activeCell="L2" sqref="L2"/>
    </sheetView>
  </sheetViews>
  <sheetFormatPr defaultColWidth="8.88671875" defaultRowHeight="14.4" x14ac:dyDescent="0.3"/>
  <cols>
    <col min="1" max="1" width="10.109375" style="1" bestFit="1" customWidth="1"/>
    <col min="2" max="2" width="27.88671875" style="1" bestFit="1" customWidth="1"/>
    <col min="3" max="3" width="6.6640625" style="1" bestFit="1" customWidth="1"/>
    <col min="4" max="4" width="10.88671875" style="1" bestFit="1" customWidth="1"/>
    <col min="5" max="5" width="18.44140625" style="1" bestFit="1" customWidth="1"/>
    <col min="6" max="6" width="16.6640625" style="1" bestFit="1" customWidth="1"/>
    <col min="7" max="9" width="8.88671875" style="1"/>
    <col min="10" max="10" width="13.6640625" style="1" bestFit="1" customWidth="1"/>
    <col min="11" max="11" width="9.88671875" style="1" bestFit="1" customWidth="1"/>
    <col min="12" max="12" width="10.109375" style="24" bestFit="1" customWidth="1"/>
    <col min="13" max="16384" width="8.88671875" style="1"/>
  </cols>
  <sheetData>
    <row r="1" spans="1:14" x14ac:dyDescent="0.3">
      <c r="A1" s="2" t="s">
        <v>17</v>
      </c>
      <c r="B1" s="2" t="s">
        <v>18</v>
      </c>
      <c r="C1" s="2" t="s">
        <v>19</v>
      </c>
      <c r="D1" s="2" t="s">
        <v>20</v>
      </c>
      <c r="E1" s="2" t="s">
        <v>223</v>
      </c>
      <c r="F1" s="2" t="s">
        <v>78</v>
      </c>
      <c r="G1" s="2" t="s">
        <v>97</v>
      </c>
      <c r="H1" s="5" t="s">
        <v>224</v>
      </c>
      <c r="I1" s="4" t="s">
        <v>225</v>
      </c>
      <c r="J1" s="4" t="s">
        <v>226</v>
      </c>
      <c r="K1" s="2" t="s">
        <v>227</v>
      </c>
      <c r="L1" s="23" t="s">
        <v>228</v>
      </c>
      <c r="M1" s="4" t="s">
        <v>36</v>
      </c>
    </row>
    <row r="2" spans="1:14" x14ac:dyDescent="0.3">
      <c r="A2" s="21" t="s">
        <v>37</v>
      </c>
      <c r="B2" s="21" t="s">
        <v>38</v>
      </c>
      <c r="C2" s="22">
        <v>1992</v>
      </c>
      <c r="D2" s="1" t="s">
        <v>151</v>
      </c>
      <c r="E2" s="1" t="s">
        <v>229</v>
      </c>
      <c r="F2" s="1" t="s">
        <v>230</v>
      </c>
      <c r="G2" s="1">
        <v>1992</v>
      </c>
      <c r="H2" s="1" t="s">
        <v>47</v>
      </c>
      <c r="I2" s="1">
        <v>178288</v>
      </c>
      <c r="J2" s="1" t="s">
        <v>47</v>
      </c>
      <c r="K2" s="1" t="s">
        <v>47</v>
      </c>
      <c r="L2" s="24">
        <f>I2/4650204</f>
        <v>3.8339823371189734E-2</v>
      </c>
      <c r="M2" s="1" t="s">
        <v>231</v>
      </c>
    </row>
    <row r="3" spans="1:14" x14ac:dyDescent="0.3">
      <c r="A3" s="21" t="s">
        <v>37</v>
      </c>
      <c r="B3" s="21" t="s">
        <v>38</v>
      </c>
      <c r="C3" s="22">
        <v>1992</v>
      </c>
      <c r="D3" s="1" t="s">
        <v>151</v>
      </c>
      <c r="E3" s="1" t="s">
        <v>232</v>
      </c>
      <c r="F3" s="1" t="s">
        <v>230</v>
      </c>
      <c r="G3" s="1">
        <v>1992</v>
      </c>
      <c r="H3" s="1" t="s">
        <v>47</v>
      </c>
      <c r="I3" s="1">
        <v>33142.160000000003</v>
      </c>
      <c r="J3" s="1" t="s">
        <v>47</v>
      </c>
      <c r="K3" s="1" t="s">
        <v>47</v>
      </c>
      <c r="L3" s="24">
        <f>I3/4650204</f>
        <v>7.1270335666994405E-3</v>
      </c>
    </row>
    <row r="4" spans="1:14" x14ac:dyDescent="0.3">
      <c r="A4" s="21" t="s">
        <v>37</v>
      </c>
      <c r="B4" s="21" t="s">
        <v>38</v>
      </c>
      <c r="C4" s="22">
        <v>1992</v>
      </c>
      <c r="D4" s="1" t="s">
        <v>151</v>
      </c>
      <c r="E4" s="1" t="s">
        <v>233</v>
      </c>
      <c r="F4" s="1" t="s">
        <v>230</v>
      </c>
      <c r="G4" s="1">
        <v>1992</v>
      </c>
      <c r="H4" s="1" t="s">
        <v>47</v>
      </c>
      <c r="I4" s="1">
        <v>33584.28</v>
      </c>
      <c r="J4" s="1" t="s">
        <v>47</v>
      </c>
      <c r="K4" s="1" t="s">
        <v>47</v>
      </c>
      <c r="L4" s="24">
        <f t="shared" ref="L4:L11" si="0">I4/4650204</f>
        <v>7.2221089655421563E-3</v>
      </c>
    </row>
    <row r="5" spans="1:14" x14ac:dyDescent="0.3">
      <c r="A5" s="21" t="s">
        <v>37</v>
      </c>
      <c r="B5" s="21" t="s">
        <v>38</v>
      </c>
      <c r="C5" s="22">
        <v>1992</v>
      </c>
      <c r="D5" s="1" t="s">
        <v>151</v>
      </c>
      <c r="E5" s="1" t="s">
        <v>234</v>
      </c>
      <c r="F5" s="1" t="s">
        <v>206</v>
      </c>
      <c r="G5" s="1">
        <v>1992</v>
      </c>
      <c r="H5" s="1" t="s">
        <v>47</v>
      </c>
      <c r="I5" s="1">
        <v>32887.199999999997</v>
      </c>
      <c r="J5" s="1" t="s">
        <v>47</v>
      </c>
      <c r="K5" s="1" t="s">
        <v>47</v>
      </c>
      <c r="L5" s="24">
        <f t="shared" si="0"/>
        <v>7.072205864516911E-3</v>
      </c>
    </row>
    <row r="6" spans="1:14" x14ac:dyDescent="0.3">
      <c r="A6" s="21" t="s">
        <v>37</v>
      </c>
      <c r="B6" s="21" t="s">
        <v>38</v>
      </c>
      <c r="C6" s="22">
        <v>1992</v>
      </c>
      <c r="D6" s="1" t="s">
        <v>151</v>
      </c>
      <c r="E6" s="1" t="s">
        <v>235</v>
      </c>
      <c r="F6" s="1" t="s">
        <v>236</v>
      </c>
      <c r="G6" s="1">
        <v>1992</v>
      </c>
      <c r="H6" s="1" t="s">
        <v>47</v>
      </c>
      <c r="I6" s="1">
        <v>32304.799999999999</v>
      </c>
      <c r="J6" s="1" t="s">
        <v>47</v>
      </c>
      <c r="K6" s="1" t="s">
        <v>47</v>
      </c>
      <c r="L6" s="24">
        <f t="shared" si="0"/>
        <v>6.9469640471686829E-3</v>
      </c>
    </row>
    <row r="7" spans="1:14" x14ac:dyDescent="0.3">
      <c r="A7" s="21" t="s">
        <v>37</v>
      </c>
      <c r="B7" s="21" t="s">
        <v>38</v>
      </c>
      <c r="C7" s="22">
        <v>1992</v>
      </c>
      <c r="D7" s="1" t="s">
        <v>151</v>
      </c>
      <c r="E7" s="1" t="s">
        <v>237</v>
      </c>
      <c r="F7" s="1" t="s">
        <v>236</v>
      </c>
      <c r="G7" s="1">
        <v>1992</v>
      </c>
      <c r="H7" s="1" t="s">
        <v>47</v>
      </c>
      <c r="I7" s="1">
        <v>26645.4</v>
      </c>
      <c r="J7" s="1" t="s">
        <v>47</v>
      </c>
      <c r="K7" s="1" t="s">
        <v>47</v>
      </c>
      <c r="L7" s="24">
        <f t="shared" si="0"/>
        <v>5.7299421702789819E-3</v>
      </c>
    </row>
    <row r="8" spans="1:14" x14ac:dyDescent="0.3">
      <c r="A8" s="21" t="s">
        <v>37</v>
      </c>
      <c r="B8" s="21" t="s">
        <v>38</v>
      </c>
      <c r="C8" s="22">
        <v>1992</v>
      </c>
      <c r="D8" s="1" t="s">
        <v>151</v>
      </c>
      <c r="E8" s="1" t="s">
        <v>238</v>
      </c>
      <c r="F8" s="1" t="s">
        <v>239</v>
      </c>
      <c r="G8" s="1">
        <v>1992</v>
      </c>
      <c r="H8" s="1" t="s">
        <v>47</v>
      </c>
      <c r="I8" s="1">
        <v>26052.28</v>
      </c>
      <c r="J8" s="1" t="s">
        <v>47</v>
      </c>
      <c r="K8" s="1" t="s">
        <v>47</v>
      </c>
      <c r="L8" s="24">
        <f t="shared" si="0"/>
        <v>5.6023950777213212E-3</v>
      </c>
    </row>
    <row r="9" spans="1:14" x14ac:dyDescent="0.3">
      <c r="A9" s="21" t="s">
        <v>37</v>
      </c>
      <c r="B9" s="21" t="s">
        <v>38</v>
      </c>
      <c r="C9" s="22">
        <v>1992</v>
      </c>
      <c r="D9" s="1" t="s">
        <v>151</v>
      </c>
      <c r="E9" s="1" t="s">
        <v>240</v>
      </c>
      <c r="F9" s="1" t="s">
        <v>230</v>
      </c>
      <c r="G9" s="1">
        <v>1992</v>
      </c>
      <c r="H9" s="1" t="s">
        <v>47</v>
      </c>
      <c r="I9" s="1">
        <v>23586.639999999999</v>
      </c>
      <c r="J9" s="1" t="s">
        <v>47</v>
      </c>
      <c r="K9" s="1" t="s">
        <v>47</v>
      </c>
      <c r="L9" s="24">
        <f t="shared" si="0"/>
        <v>5.0721731777788673E-3</v>
      </c>
    </row>
    <row r="10" spans="1:14" x14ac:dyDescent="0.3">
      <c r="A10" s="21" t="s">
        <v>37</v>
      </c>
      <c r="B10" s="21" t="s">
        <v>38</v>
      </c>
      <c r="C10" s="22">
        <v>1992</v>
      </c>
      <c r="D10" s="1" t="s">
        <v>151</v>
      </c>
      <c r="E10" s="1" t="s">
        <v>241</v>
      </c>
      <c r="F10" s="1" t="s">
        <v>230</v>
      </c>
      <c r="G10" s="1">
        <v>1992</v>
      </c>
      <c r="H10" s="1" t="s">
        <v>47</v>
      </c>
      <c r="I10" s="1">
        <v>22078.32</v>
      </c>
      <c r="J10" s="1" t="s">
        <v>47</v>
      </c>
      <c r="K10" s="1" t="s">
        <v>47</v>
      </c>
      <c r="L10" s="24">
        <f t="shared" si="0"/>
        <v>4.7478175151025636E-3</v>
      </c>
    </row>
    <row r="11" spans="1:14" x14ac:dyDescent="0.3">
      <c r="A11" s="21" t="s">
        <v>37</v>
      </c>
      <c r="B11" s="21" t="s">
        <v>38</v>
      </c>
      <c r="C11" s="22">
        <v>1992</v>
      </c>
      <c r="D11" s="1" t="s">
        <v>151</v>
      </c>
      <c r="E11" s="1" t="s">
        <v>242</v>
      </c>
      <c r="F11" s="1" t="s">
        <v>243</v>
      </c>
      <c r="G11" s="1">
        <v>1992</v>
      </c>
      <c r="H11" s="1" t="s">
        <v>47</v>
      </c>
      <c r="I11" s="1">
        <v>19610.04</v>
      </c>
      <c r="J11" s="1" t="s">
        <v>47</v>
      </c>
      <c r="K11" s="1" t="s">
        <v>47</v>
      </c>
      <c r="L11" s="24">
        <f t="shared" si="0"/>
        <v>4.2170278981309211E-3</v>
      </c>
    </row>
    <row r="12" spans="1:14" x14ac:dyDescent="0.3">
      <c r="A12" s="21" t="s">
        <v>37</v>
      </c>
      <c r="B12" s="21" t="s">
        <v>38</v>
      </c>
      <c r="C12" s="1">
        <v>2006</v>
      </c>
      <c r="D12" s="1" t="s">
        <v>151</v>
      </c>
      <c r="E12" s="1" t="s">
        <v>244</v>
      </c>
      <c r="F12" s="1" t="s">
        <v>230</v>
      </c>
      <c r="G12" s="1">
        <v>2006</v>
      </c>
      <c r="H12" s="1">
        <v>396100</v>
      </c>
    </row>
    <row r="13" spans="1:14" x14ac:dyDescent="0.3">
      <c r="A13" s="21" t="s">
        <v>37</v>
      </c>
      <c r="B13" s="21" t="s">
        <v>38</v>
      </c>
      <c r="C13" s="1">
        <v>2006</v>
      </c>
      <c r="D13" s="1" t="s">
        <v>151</v>
      </c>
      <c r="E13" s="1" t="s">
        <v>245</v>
      </c>
      <c r="F13" s="1" t="s">
        <v>230</v>
      </c>
      <c r="G13" s="1">
        <v>2006</v>
      </c>
      <c r="H13" s="1">
        <v>68310</v>
      </c>
    </row>
    <row r="14" spans="1:14" x14ac:dyDescent="0.3">
      <c r="A14" s="21" t="s">
        <v>37</v>
      </c>
      <c r="B14" s="21" t="s">
        <v>38</v>
      </c>
      <c r="C14" s="1">
        <v>2006</v>
      </c>
      <c r="D14" s="1" t="s">
        <v>151</v>
      </c>
      <c r="E14" s="1" t="s">
        <v>235</v>
      </c>
      <c r="F14" s="1" t="s">
        <v>236</v>
      </c>
      <c r="G14" s="1">
        <v>2006</v>
      </c>
      <c r="H14" s="1">
        <v>57800</v>
      </c>
    </row>
    <row r="15" spans="1:14" x14ac:dyDescent="0.3">
      <c r="A15" s="21" t="s">
        <v>37</v>
      </c>
      <c r="B15" s="21" t="s">
        <v>38</v>
      </c>
      <c r="C15" s="1">
        <v>2006</v>
      </c>
      <c r="D15" s="1" t="s">
        <v>151</v>
      </c>
      <c r="E15" s="1" t="s">
        <v>246</v>
      </c>
      <c r="F15" s="1" t="s">
        <v>247</v>
      </c>
      <c r="G15" s="1">
        <v>2006</v>
      </c>
      <c r="H15" s="1">
        <v>51793</v>
      </c>
      <c r="N15" s="1" t="s">
        <v>248</v>
      </c>
    </row>
    <row r="16" spans="1:14" x14ac:dyDescent="0.3">
      <c r="A16" s="21" t="s">
        <v>37</v>
      </c>
      <c r="B16" s="21" t="s">
        <v>38</v>
      </c>
      <c r="C16" s="1">
        <v>2006</v>
      </c>
      <c r="D16" s="1" t="s">
        <v>151</v>
      </c>
      <c r="E16" s="1" t="s">
        <v>249</v>
      </c>
      <c r="F16" s="1" t="s">
        <v>230</v>
      </c>
      <c r="G16" s="1">
        <v>2006</v>
      </c>
      <c r="H16" s="1">
        <v>48955</v>
      </c>
    </row>
    <row r="17" spans="1:8" x14ac:dyDescent="0.3">
      <c r="A17" s="21" t="s">
        <v>37</v>
      </c>
      <c r="B17" s="21" t="s">
        <v>38</v>
      </c>
      <c r="C17" s="1">
        <v>2006</v>
      </c>
      <c r="D17" s="1" t="s">
        <v>151</v>
      </c>
      <c r="E17" s="1" t="s">
        <v>250</v>
      </c>
      <c r="F17" s="1" t="s">
        <v>236</v>
      </c>
      <c r="G17" s="1">
        <v>2006</v>
      </c>
      <c r="H17" s="1">
        <v>36700</v>
      </c>
    </row>
    <row r="18" spans="1:8" x14ac:dyDescent="0.3">
      <c r="A18" s="21" t="s">
        <v>37</v>
      </c>
      <c r="B18" s="21" t="s">
        <v>38</v>
      </c>
      <c r="C18" s="1">
        <v>2006</v>
      </c>
      <c r="D18" s="1" t="s">
        <v>151</v>
      </c>
      <c r="E18" s="1" t="s">
        <v>251</v>
      </c>
      <c r="F18" s="1" t="s">
        <v>252</v>
      </c>
      <c r="G18" s="1">
        <v>2006</v>
      </c>
      <c r="H18" s="1">
        <v>25140</v>
      </c>
    </row>
    <row r="19" spans="1:8" x14ac:dyDescent="0.3">
      <c r="A19" s="21" t="s">
        <v>37</v>
      </c>
      <c r="B19" s="21" t="s">
        <v>38</v>
      </c>
      <c r="C19" s="1">
        <v>2006</v>
      </c>
      <c r="D19" s="1" t="s">
        <v>151</v>
      </c>
      <c r="E19" s="1" t="s">
        <v>253</v>
      </c>
      <c r="F19" s="1" t="s">
        <v>254</v>
      </c>
      <c r="G19" s="1">
        <v>2006</v>
      </c>
      <c r="H19" s="1">
        <v>20353</v>
      </c>
    </row>
    <row r="20" spans="1:8" x14ac:dyDescent="0.3">
      <c r="A20" s="21" t="s">
        <v>37</v>
      </c>
      <c r="B20" s="21" t="s">
        <v>38</v>
      </c>
      <c r="C20" s="1">
        <v>2006</v>
      </c>
      <c r="D20" s="1" t="s">
        <v>151</v>
      </c>
      <c r="E20" s="1" t="s">
        <v>255</v>
      </c>
      <c r="F20" s="1" t="s">
        <v>230</v>
      </c>
      <c r="G20" s="1">
        <v>2006</v>
      </c>
      <c r="H20" s="1">
        <v>19968</v>
      </c>
    </row>
    <row r="21" spans="1:8" x14ac:dyDescent="0.3">
      <c r="A21" s="21" t="s">
        <v>37</v>
      </c>
      <c r="B21" s="21" t="s">
        <v>38</v>
      </c>
      <c r="C21" s="1">
        <v>2006</v>
      </c>
      <c r="D21" s="1" t="s">
        <v>151</v>
      </c>
      <c r="E21" s="1" t="s">
        <v>256</v>
      </c>
      <c r="F21" s="1" t="s">
        <v>257</v>
      </c>
      <c r="G21" s="1">
        <v>2006</v>
      </c>
      <c r="H21" s="1">
        <v>19170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P15"/>
  <sheetViews>
    <sheetView workbookViewId="0">
      <selection activeCell="P13" sqref="P13"/>
    </sheetView>
  </sheetViews>
  <sheetFormatPr defaultColWidth="8.88671875" defaultRowHeight="14.4" x14ac:dyDescent="0.3"/>
  <cols>
    <col min="1" max="1" width="10.109375" style="1" bestFit="1" customWidth="1"/>
    <col min="2" max="2" width="27.88671875" style="1" bestFit="1" customWidth="1"/>
    <col min="3" max="3" width="8.88671875" style="1"/>
    <col min="4" max="4" width="7.88671875" style="1" bestFit="1" customWidth="1"/>
    <col min="5" max="5" width="8.88671875" style="1"/>
    <col min="6" max="6" width="10.88671875" style="1" bestFit="1" customWidth="1"/>
    <col min="7" max="7" width="11.88671875" style="1" bestFit="1" customWidth="1"/>
    <col min="8" max="8" width="11.33203125" style="1" bestFit="1" customWidth="1"/>
    <col min="9" max="9" width="10" style="1" bestFit="1" customWidth="1"/>
    <col min="10" max="10" width="9.109375" style="28" bestFit="1" customWidth="1"/>
    <col min="11" max="11" width="8.88671875" style="1"/>
    <col min="12" max="12" width="13.33203125" style="1" bestFit="1" customWidth="1"/>
    <col min="13" max="13" width="11.6640625" style="1" bestFit="1" customWidth="1"/>
    <col min="14" max="14" width="8.88671875" style="1"/>
    <col min="15" max="15" width="10.44140625" style="1" bestFit="1" customWidth="1"/>
    <col min="16" max="16384" width="8.88671875" style="1"/>
  </cols>
  <sheetData>
    <row r="1" spans="1:16" x14ac:dyDescent="0.3">
      <c r="A1" s="4" t="s">
        <v>17</v>
      </c>
      <c r="B1" s="4" t="s">
        <v>18</v>
      </c>
      <c r="C1" s="4" t="s">
        <v>19</v>
      </c>
      <c r="D1" s="4" t="s">
        <v>258</v>
      </c>
      <c r="E1" s="4" t="s">
        <v>259</v>
      </c>
      <c r="F1" s="4" t="s">
        <v>20</v>
      </c>
      <c r="G1" s="4" t="s">
        <v>260</v>
      </c>
      <c r="H1" s="4" t="s">
        <v>261</v>
      </c>
      <c r="I1" s="4" t="s">
        <v>262</v>
      </c>
      <c r="J1" s="29" t="s">
        <v>197</v>
      </c>
      <c r="K1" s="4" t="s">
        <v>263</v>
      </c>
      <c r="L1" s="4" t="s">
        <v>264</v>
      </c>
      <c r="M1" s="4" t="s">
        <v>265</v>
      </c>
      <c r="N1" s="4" t="s">
        <v>266</v>
      </c>
      <c r="O1" s="4" t="s">
        <v>267</v>
      </c>
      <c r="P1" s="4" t="s">
        <v>36</v>
      </c>
    </row>
    <row r="2" spans="1:16" x14ac:dyDescent="0.3">
      <c r="A2" s="21" t="s">
        <v>37</v>
      </c>
      <c r="B2" s="21" t="s">
        <v>38</v>
      </c>
      <c r="C2" s="22">
        <v>1992</v>
      </c>
      <c r="F2" s="1" t="s">
        <v>151</v>
      </c>
      <c r="P2" s="1" t="s">
        <v>268</v>
      </c>
    </row>
    <row r="3" spans="1:16" x14ac:dyDescent="0.3">
      <c r="A3" s="21" t="s">
        <v>37</v>
      </c>
      <c r="B3" s="21" t="s">
        <v>38</v>
      </c>
      <c r="C3" s="1">
        <v>2006</v>
      </c>
      <c r="D3" s="1">
        <v>2006</v>
      </c>
      <c r="E3" s="1">
        <v>2004</v>
      </c>
      <c r="F3" s="1" t="s">
        <v>151</v>
      </c>
      <c r="G3" s="1" t="s">
        <v>269</v>
      </c>
      <c r="H3" s="1" t="s">
        <v>270</v>
      </c>
      <c r="I3" s="1" t="s">
        <v>271</v>
      </c>
      <c r="J3" s="28">
        <v>0.625</v>
      </c>
      <c r="K3" s="1" t="s">
        <v>272</v>
      </c>
      <c r="L3" s="1">
        <v>500</v>
      </c>
      <c r="N3" s="1">
        <v>11.88</v>
      </c>
      <c r="O3" s="1" t="s">
        <v>273</v>
      </c>
    </row>
    <row r="4" spans="1:16" x14ac:dyDescent="0.3">
      <c r="A4" s="21" t="s">
        <v>37</v>
      </c>
      <c r="B4" s="21" t="s">
        <v>38</v>
      </c>
      <c r="C4" s="1">
        <v>2006</v>
      </c>
      <c r="D4" s="1">
        <v>2006</v>
      </c>
      <c r="E4" s="1">
        <v>2004</v>
      </c>
      <c r="F4" s="1" t="s">
        <v>151</v>
      </c>
      <c r="G4" s="1" t="s">
        <v>269</v>
      </c>
      <c r="H4" s="1" t="s">
        <v>270</v>
      </c>
      <c r="I4" s="1" t="s">
        <v>271</v>
      </c>
      <c r="J4" s="28">
        <v>0.75</v>
      </c>
      <c r="K4" s="1" t="s">
        <v>272</v>
      </c>
      <c r="L4" s="1">
        <v>500</v>
      </c>
      <c r="N4" s="1">
        <v>17.52</v>
      </c>
      <c r="O4" s="1" t="s">
        <v>273</v>
      </c>
    </row>
    <row r="5" spans="1:16" x14ac:dyDescent="0.3">
      <c r="A5" s="21" t="s">
        <v>37</v>
      </c>
      <c r="B5" s="21" t="s">
        <v>38</v>
      </c>
      <c r="C5" s="1">
        <v>2006</v>
      </c>
      <c r="D5" s="1">
        <v>2006</v>
      </c>
      <c r="E5" s="1">
        <v>2004</v>
      </c>
      <c r="F5" s="1" t="s">
        <v>151</v>
      </c>
      <c r="G5" s="1" t="s">
        <v>269</v>
      </c>
      <c r="H5" s="1" t="s">
        <v>270</v>
      </c>
      <c r="I5" s="1" t="s">
        <v>271</v>
      </c>
      <c r="J5" s="28">
        <v>1</v>
      </c>
      <c r="K5" s="1" t="s">
        <v>272</v>
      </c>
      <c r="L5" s="1">
        <v>500</v>
      </c>
      <c r="N5" s="1">
        <v>23.17</v>
      </c>
      <c r="O5" s="1" t="s">
        <v>273</v>
      </c>
    </row>
    <row r="6" spans="1:16" x14ac:dyDescent="0.3">
      <c r="A6" s="21" t="s">
        <v>37</v>
      </c>
      <c r="B6" s="21" t="s">
        <v>38</v>
      </c>
      <c r="C6" s="1">
        <v>2006</v>
      </c>
      <c r="D6" s="1">
        <v>2006</v>
      </c>
      <c r="E6" s="1">
        <v>2004</v>
      </c>
      <c r="F6" s="1" t="s">
        <v>151</v>
      </c>
      <c r="G6" s="1" t="s">
        <v>269</v>
      </c>
      <c r="H6" s="1" t="s">
        <v>270</v>
      </c>
      <c r="I6" s="1" t="s">
        <v>271</v>
      </c>
      <c r="J6" s="28">
        <v>1.5</v>
      </c>
      <c r="K6" s="1" t="s">
        <v>272</v>
      </c>
      <c r="L6" s="1">
        <v>500</v>
      </c>
      <c r="N6" s="1">
        <v>39.92</v>
      </c>
      <c r="O6" s="1" t="s">
        <v>273</v>
      </c>
    </row>
    <row r="7" spans="1:16" x14ac:dyDescent="0.3">
      <c r="A7" s="21" t="s">
        <v>37</v>
      </c>
      <c r="B7" s="21" t="s">
        <v>38</v>
      </c>
      <c r="C7" s="1">
        <v>2006</v>
      </c>
      <c r="D7" s="1">
        <v>2006</v>
      </c>
      <c r="E7" s="1">
        <v>2004</v>
      </c>
      <c r="F7" s="1" t="s">
        <v>151</v>
      </c>
      <c r="G7" s="1" t="s">
        <v>269</v>
      </c>
      <c r="H7" s="1" t="s">
        <v>270</v>
      </c>
      <c r="I7" s="1" t="s">
        <v>271</v>
      </c>
      <c r="J7" s="28">
        <v>2</v>
      </c>
      <c r="K7" s="1" t="s">
        <v>272</v>
      </c>
      <c r="L7" s="1">
        <v>500</v>
      </c>
      <c r="N7" s="1">
        <v>50.95</v>
      </c>
      <c r="O7" s="1" t="s">
        <v>273</v>
      </c>
    </row>
    <row r="8" spans="1:16" x14ac:dyDescent="0.3">
      <c r="A8" s="21" t="s">
        <v>37</v>
      </c>
      <c r="B8" s="21" t="s">
        <v>38</v>
      </c>
      <c r="C8" s="1">
        <v>2006</v>
      </c>
      <c r="D8" s="1">
        <v>2006</v>
      </c>
      <c r="E8" s="1">
        <v>2004</v>
      </c>
      <c r="F8" s="1" t="s">
        <v>151</v>
      </c>
      <c r="G8" s="1" t="s">
        <v>269</v>
      </c>
      <c r="H8" s="1" t="s">
        <v>270</v>
      </c>
      <c r="I8" s="1" t="s">
        <v>271</v>
      </c>
      <c r="J8" s="28">
        <v>3</v>
      </c>
      <c r="K8" s="1" t="s">
        <v>272</v>
      </c>
      <c r="L8" s="1">
        <v>500</v>
      </c>
      <c r="N8" s="1">
        <v>73.14</v>
      </c>
      <c r="O8" s="1" t="s">
        <v>273</v>
      </c>
    </row>
    <row r="9" spans="1:16" x14ac:dyDescent="0.3">
      <c r="A9" s="21" t="s">
        <v>37</v>
      </c>
      <c r="B9" s="21" t="s">
        <v>38</v>
      </c>
      <c r="C9" s="1">
        <v>2006</v>
      </c>
      <c r="D9" s="1">
        <v>2006</v>
      </c>
      <c r="E9" s="1">
        <v>2004</v>
      </c>
      <c r="F9" s="1" t="s">
        <v>151</v>
      </c>
      <c r="G9" s="1" t="s">
        <v>269</v>
      </c>
      <c r="H9" s="1" t="s">
        <v>270</v>
      </c>
      <c r="I9" s="1" t="s">
        <v>271</v>
      </c>
      <c r="J9" s="28">
        <v>4</v>
      </c>
      <c r="K9" s="1" t="s">
        <v>272</v>
      </c>
      <c r="L9" s="1">
        <v>500</v>
      </c>
      <c r="N9" s="1">
        <v>95.4</v>
      </c>
      <c r="O9" s="1" t="s">
        <v>273</v>
      </c>
    </row>
    <row r="10" spans="1:16" x14ac:dyDescent="0.3">
      <c r="A10" s="21" t="s">
        <v>37</v>
      </c>
      <c r="B10" s="21" t="s">
        <v>38</v>
      </c>
      <c r="C10" s="1">
        <v>2006</v>
      </c>
      <c r="D10" s="1">
        <v>2006</v>
      </c>
      <c r="E10" s="1">
        <v>2004</v>
      </c>
      <c r="F10" s="1" t="s">
        <v>151</v>
      </c>
      <c r="G10" s="1" t="s">
        <v>269</v>
      </c>
      <c r="H10" s="1" t="s">
        <v>270</v>
      </c>
      <c r="I10" s="1" t="s">
        <v>271</v>
      </c>
      <c r="J10" s="28">
        <v>6</v>
      </c>
      <c r="K10" s="1" t="s">
        <v>272</v>
      </c>
      <c r="L10" s="1">
        <v>500</v>
      </c>
      <c r="N10" s="1">
        <v>117.61</v>
      </c>
      <c r="O10" s="1" t="s">
        <v>273</v>
      </c>
    </row>
    <row r="11" spans="1:16" x14ac:dyDescent="0.3">
      <c r="A11" s="21" t="s">
        <v>37</v>
      </c>
      <c r="B11" s="21" t="s">
        <v>38</v>
      </c>
      <c r="C11" s="1">
        <v>2006</v>
      </c>
      <c r="D11" s="1">
        <v>2006</v>
      </c>
      <c r="E11" s="1">
        <v>2004</v>
      </c>
      <c r="F11" s="1" t="s">
        <v>151</v>
      </c>
      <c r="G11" s="1" t="s">
        <v>269</v>
      </c>
      <c r="H11" s="1" t="s">
        <v>270</v>
      </c>
      <c r="I11" s="1" t="s">
        <v>271</v>
      </c>
      <c r="J11" s="28">
        <v>8</v>
      </c>
      <c r="K11" s="1" t="s">
        <v>272</v>
      </c>
      <c r="L11" s="1">
        <v>500</v>
      </c>
      <c r="N11" s="1">
        <v>162</v>
      </c>
      <c r="O11" s="1" t="s">
        <v>273</v>
      </c>
    </row>
    <row r="12" spans="1:16" x14ac:dyDescent="0.3">
      <c r="A12" s="21" t="s">
        <v>37</v>
      </c>
      <c r="B12" s="21" t="s">
        <v>38</v>
      </c>
      <c r="C12" s="1">
        <v>2006</v>
      </c>
      <c r="D12" s="1">
        <v>2006</v>
      </c>
      <c r="E12" s="1">
        <v>2004</v>
      </c>
      <c r="F12" s="1" t="s">
        <v>151</v>
      </c>
      <c r="G12" s="1" t="s">
        <v>269</v>
      </c>
      <c r="H12" s="1" t="s">
        <v>274</v>
      </c>
      <c r="I12" s="1" t="s">
        <v>224</v>
      </c>
      <c r="J12" s="28">
        <v>4000</v>
      </c>
      <c r="K12" s="1" t="s">
        <v>224</v>
      </c>
      <c r="N12" s="1">
        <v>4.67</v>
      </c>
      <c r="O12" s="1" t="s">
        <v>275</v>
      </c>
      <c r="P12" s="1" t="s">
        <v>276</v>
      </c>
    </row>
    <row r="13" spans="1:16" x14ac:dyDescent="0.3">
      <c r="A13" s="21" t="s">
        <v>37</v>
      </c>
      <c r="B13" s="21" t="s">
        <v>38</v>
      </c>
      <c r="C13" s="1">
        <v>2006</v>
      </c>
      <c r="D13" s="1">
        <v>2006</v>
      </c>
      <c r="E13" s="1">
        <v>2004</v>
      </c>
      <c r="F13" s="1" t="s">
        <v>151</v>
      </c>
      <c r="G13" s="1" t="s">
        <v>269</v>
      </c>
      <c r="H13" s="1" t="s">
        <v>274</v>
      </c>
      <c r="I13" s="1" t="s">
        <v>224</v>
      </c>
      <c r="J13" s="28">
        <v>7500</v>
      </c>
      <c r="K13" s="1" t="s">
        <v>224</v>
      </c>
      <c r="N13" s="1">
        <v>4.5199999999999996</v>
      </c>
      <c r="O13" s="1" t="s">
        <v>275</v>
      </c>
    </row>
    <row r="14" spans="1:16" x14ac:dyDescent="0.3">
      <c r="A14" s="21" t="s">
        <v>37</v>
      </c>
      <c r="B14" s="21" t="s">
        <v>38</v>
      </c>
      <c r="C14" s="1">
        <v>2006</v>
      </c>
      <c r="D14" s="1">
        <v>2006</v>
      </c>
      <c r="E14" s="1">
        <v>2004</v>
      </c>
      <c r="F14" s="1" t="s">
        <v>151</v>
      </c>
      <c r="G14" s="1" t="s">
        <v>269</v>
      </c>
      <c r="H14" s="1" t="s">
        <v>274</v>
      </c>
      <c r="I14" s="1" t="s">
        <v>224</v>
      </c>
      <c r="J14" s="28">
        <v>50000</v>
      </c>
      <c r="K14" s="1" t="s">
        <v>224</v>
      </c>
      <c r="N14" s="1">
        <v>4.29</v>
      </c>
      <c r="O14" s="1" t="s">
        <v>275</v>
      </c>
    </row>
    <row r="15" spans="1:16" x14ac:dyDescent="0.3">
      <c r="A15" s="21" t="s">
        <v>37</v>
      </c>
      <c r="B15" s="21" t="s">
        <v>38</v>
      </c>
      <c r="C15" s="1">
        <v>2006</v>
      </c>
      <c r="D15" s="1">
        <v>2006</v>
      </c>
      <c r="E15" s="1">
        <v>2004</v>
      </c>
      <c r="F15" s="1" t="s">
        <v>151</v>
      </c>
      <c r="G15" s="1" t="s">
        <v>269</v>
      </c>
      <c r="H15" s="1" t="s">
        <v>274</v>
      </c>
      <c r="I15" s="1" t="s">
        <v>224</v>
      </c>
      <c r="J15" s="28">
        <v>62000</v>
      </c>
      <c r="K15" s="1" t="s">
        <v>224</v>
      </c>
      <c r="N15" s="1">
        <v>4.04</v>
      </c>
      <c r="O15" s="1" t="s">
        <v>275</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S33"/>
  <sheetViews>
    <sheetView workbookViewId="0">
      <pane xSplit="4" topLeftCell="U1" activePane="topRight" state="frozen"/>
      <selection pane="topRight" activeCell="U33" sqref="U33"/>
    </sheetView>
  </sheetViews>
  <sheetFormatPr defaultColWidth="8.88671875" defaultRowHeight="14.4" x14ac:dyDescent="0.3"/>
  <cols>
    <col min="1" max="1" width="10.33203125" style="1" bestFit="1" customWidth="1"/>
    <col min="2" max="2" width="12.88671875" style="1" customWidth="1"/>
    <col min="3" max="3" width="22.33203125" style="1" customWidth="1"/>
    <col min="4" max="4" width="35" style="1" bestFit="1" customWidth="1"/>
    <col min="5" max="7" width="10.109375" style="1" bestFit="1" customWidth="1"/>
    <col min="8" max="9" width="11.109375" style="1" bestFit="1" customWidth="1"/>
    <col min="10" max="10" width="11.6640625" style="1" bestFit="1" customWidth="1"/>
    <col min="11" max="18" width="8.88671875" style="1"/>
    <col min="19" max="22" width="11.109375" style="1" bestFit="1" customWidth="1"/>
    <col min="23" max="23" width="8.88671875" style="1"/>
    <col min="24" max="24" width="11.109375" style="1" bestFit="1" customWidth="1"/>
    <col min="25" max="25" width="10.109375" style="1" bestFit="1" customWidth="1"/>
    <col min="26" max="27" width="11.109375" style="1" bestFit="1" customWidth="1"/>
    <col min="28" max="28" width="10.109375" style="1" bestFit="1" customWidth="1"/>
    <col min="29" max="31" width="8.88671875" style="1"/>
    <col min="32" max="33" width="11.109375" style="1" bestFit="1" customWidth="1"/>
    <col min="34" max="34" width="11.6640625" style="1" bestFit="1" customWidth="1"/>
    <col min="35" max="16384" width="8.88671875" style="1"/>
  </cols>
  <sheetData>
    <row r="1" spans="1:35" x14ac:dyDescent="0.3">
      <c r="E1" s="10"/>
      <c r="F1" s="11" t="s">
        <v>277</v>
      </c>
      <c r="G1" s="12"/>
      <c r="H1" s="12"/>
      <c r="I1" s="12"/>
      <c r="J1" s="12"/>
      <c r="K1" s="12"/>
      <c r="L1" s="10"/>
      <c r="M1" s="10"/>
      <c r="N1" s="10"/>
      <c r="O1" s="10"/>
      <c r="P1" s="13"/>
      <c r="Q1" s="13"/>
      <c r="R1" s="13"/>
      <c r="S1" s="13"/>
      <c r="T1" s="13"/>
      <c r="U1" s="13"/>
      <c r="V1" s="13"/>
      <c r="W1" s="13"/>
      <c r="X1" s="13"/>
      <c r="Y1" s="14" t="s">
        <v>278</v>
      </c>
      <c r="Z1" s="13"/>
      <c r="AA1" s="13"/>
      <c r="AB1" s="13"/>
      <c r="AC1" s="14" t="s">
        <v>279</v>
      </c>
      <c r="AD1" s="13"/>
      <c r="AE1" s="13"/>
      <c r="AF1" s="13"/>
      <c r="AG1" s="13"/>
      <c r="AH1" s="13"/>
    </row>
    <row r="2" spans="1:35" x14ac:dyDescent="0.3">
      <c r="A2" s="2" t="s">
        <v>17</v>
      </c>
      <c r="B2" s="2" t="s">
        <v>280</v>
      </c>
      <c r="C2" s="2" t="s">
        <v>281</v>
      </c>
      <c r="D2" s="2" t="s">
        <v>282</v>
      </c>
      <c r="E2" s="5" t="s">
        <v>283</v>
      </c>
      <c r="F2" s="5" t="s">
        <v>284</v>
      </c>
      <c r="G2" s="5" t="s">
        <v>285</v>
      </c>
      <c r="H2" s="5" t="s">
        <v>286</v>
      </c>
      <c r="I2" s="5" t="s">
        <v>287</v>
      </c>
      <c r="J2" s="5" t="s">
        <v>288</v>
      </c>
      <c r="K2" s="5" t="s">
        <v>289</v>
      </c>
      <c r="L2" s="5" t="s">
        <v>290</v>
      </c>
      <c r="M2" s="5" t="s">
        <v>291</v>
      </c>
      <c r="N2" s="5" t="s">
        <v>292</v>
      </c>
      <c r="O2" s="5" t="s">
        <v>293</v>
      </c>
      <c r="P2" s="5" t="s">
        <v>294</v>
      </c>
      <c r="Q2" s="5" t="s">
        <v>295</v>
      </c>
      <c r="R2" s="5" t="s">
        <v>296</v>
      </c>
      <c r="S2" s="5" t="s">
        <v>297</v>
      </c>
      <c r="T2" s="5" t="s">
        <v>298</v>
      </c>
      <c r="U2" s="5" t="s">
        <v>299</v>
      </c>
      <c r="V2" s="5" t="s">
        <v>300</v>
      </c>
      <c r="W2" s="5" t="s">
        <v>301</v>
      </c>
      <c r="X2" s="5" t="s">
        <v>302</v>
      </c>
      <c r="Y2" s="5" t="s">
        <v>303</v>
      </c>
      <c r="Z2" s="5" t="s">
        <v>304</v>
      </c>
      <c r="AA2" s="5" t="s">
        <v>305</v>
      </c>
      <c r="AB2" s="5" t="s">
        <v>306</v>
      </c>
      <c r="AC2" s="5" t="s">
        <v>307</v>
      </c>
      <c r="AD2" s="5" t="s">
        <v>308</v>
      </c>
      <c r="AE2" s="5" t="s">
        <v>309</v>
      </c>
      <c r="AF2" s="5" t="s">
        <v>310</v>
      </c>
      <c r="AG2" s="5" t="s">
        <v>311</v>
      </c>
      <c r="AH2" s="5" t="s">
        <v>312</v>
      </c>
      <c r="AI2" s="5" t="s">
        <v>313</v>
      </c>
    </row>
    <row r="3" spans="1:35" x14ac:dyDescent="0.3">
      <c r="A3" s="21" t="s">
        <v>37</v>
      </c>
      <c r="B3" s="21" t="s">
        <v>38</v>
      </c>
      <c r="C3" s="1" t="s">
        <v>314</v>
      </c>
      <c r="D3" s="1" t="s">
        <v>315</v>
      </c>
      <c r="E3" s="10">
        <v>2912412</v>
      </c>
      <c r="F3" s="10">
        <v>3622367</v>
      </c>
      <c r="G3" s="10">
        <v>3708767</v>
      </c>
      <c r="H3" s="10">
        <v>3910515</v>
      </c>
      <c r="I3" s="10">
        <v>4601490</v>
      </c>
      <c r="J3" s="10"/>
      <c r="K3" s="10"/>
      <c r="L3" s="10"/>
      <c r="M3" s="10"/>
      <c r="N3" s="10"/>
      <c r="O3" s="10"/>
      <c r="P3" s="13"/>
      <c r="Q3" s="13"/>
      <c r="R3" s="13"/>
      <c r="S3" s="13"/>
      <c r="T3" s="13"/>
      <c r="U3" s="13"/>
      <c r="V3" s="13"/>
      <c r="W3" s="13"/>
      <c r="X3" s="13">
        <f>0.885*7518696</f>
        <v>6654045.96</v>
      </c>
      <c r="Y3" s="13">
        <f>0.885*7686191</f>
        <v>6802279.0350000001</v>
      </c>
      <c r="Z3" s="13">
        <v>7459680.5999999996</v>
      </c>
      <c r="AA3" s="13">
        <v>6205433.3399999999</v>
      </c>
      <c r="AC3" s="13"/>
      <c r="AD3" s="13"/>
      <c r="AE3" s="13"/>
      <c r="AF3" s="13">
        <v>8988263</v>
      </c>
      <c r="AG3" s="1">
        <v>9476999</v>
      </c>
      <c r="AH3" s="13"/>
      <c r="AI3" s="13"/>
    </row>
    <row r="4" spans="1:35" x14ac:dyDescent="0.3">
      <c r="A4" s="21" t="s">
        <v>46</v>
      </c>
      <c r="B4" s="21" t="s">
        <v>38</v>
      </c>
      <c r="C4" s="1" t="s">
        <v>314</v>
      </c>
      <c r="D4" s="1" t="s">
        <v>316</v>
      </c>
      <c r="E4" s="10">
        <v>16203</v>
      </c>
      <c r="F4" s="10">
        <v>21393</v>
      </c>
      <c r="G4" s="10">
        <v>26381</v>
      </c>
      <c r="H4" s="10">
        <v>27981</v>
      </c>
      <c r="I4" s="10">
        <v>32940</v>
      </c>
      <c r="J4" s="10"/>
      <c r="K4" s="10"/>
      <c r="L4" s="10"/>
      <c r="M4" s="10"/>
      <c r="N4" s="10"/>
      <c r="O4" s="10"/>
      <c r="P4" s="13"/>
      <c r="Q4" s="13"/>
      <c r="R4" s="13"/>
      <c r="S4" s="13"/>
      <c r="T4" s="13"/>
      <c r="U4" s="13"/>
      <c r="V4" s="13"/>
      <c r="W4" s="13"/>
      <c r="X4" s="13"/>
      <c r="Y4" s="13"/>
      <c r="Z4" s="13"/>
      <c r="AA4" s="13"/>
      <c r="AB4" s="35"/>
      <c r="AC4" s="13"/>
      <c r="AD4" s="13"/>
      <c r="AE4" s="13"/>
      <c r="AF4" s="13"/>
      <c r="AH4" s="13"/>
      <c r="AI4" s="13"/>
    </row>
    <row r="5" spans="1:35" x14ac:dyDescent="0.3">
      <c r="A5" s="21" t="s">
        <v>317</v>
      </c>
      <c r="B5" s="21" t="s">
        <v>38</v>
      </c>
      <c r="C5" s="1" t="s">
        <v>314</v>
      </c>
      <c r="D5" s="1" t="s">
        <v>318</v>
      </c>
      <c r="E5" s="1">
        <v>52569</v>
      </c>
      <c r="F5" s="1">
        <v>14421</v>
      </c>
      <c r="G5" s="10">
        <v>26082</v>
      </c>
      <c r="H5" s="1">
        <v>6768</v>
      </c>
      <c r="I5" s="1">
        <v>15774</v>
      </c>
      <c r="J5" s="10"/>
      <c r="K5" s="10"/>
      <c r="L5" s="10"/>
      <c r="M5" s="10"/>
      <c r="N5" s="10"/>
      <c r="O5" s="10"/>
      <c r="P5" s="13"/>
      <c r="Q5" s="13"/>
      <c r="R5" s="13"/>
      <c r="S5" s="13">
        <v>6817965</v>
      </c>
      <c r="T5" s="13">
        <v>6810895</v>
      </c>
      <c r="U5" s="13">
        <v>7134754</v>
      </c>
      <c r="V5" s="13"/>
      <c r="W5" s="13"/>
      <c r="X5" s="35">
        <f>7518696-X3</f>
        <v>864650.04</v>
      </c>
      <c r="Y5" s="35">
        <f>7686191-Y3</f>
        <v>883911.96499999985</v>
      </c>
      <c r="Z5" s="13">
        <v>783060.39500000002</v>
      </c>
      <c r="AA5" s="13">
        <v>2013684</v>
      </c>
      <c r="AB5" s="13"/>
      <c r="AC5" s="13"/>
      <c r="AD5" s="13"/>
      <c r="AE5" s="13"/>
      <c r="AF5" s="13">
        <v>701940</v>
      </c>
      <c r="AG5" s="1">
        <v>680727</v>
      </c>
      <c r="AH5" s="13"/>
      <c r="AI5" s="13"/>
    </row>
    <row r="6" spans="1:35" x14ac:dyDescent="0.3">
      <c r="A6" s="21" t="s">
        <v>319</v>
      </c>
      <c r="B6" s="21" t="s">
        <v>38</v>
      </c>
      <c r="C6" s="1" t="s">
        <v>314</v>
      </c>
      <c r="E6" s="10"/>
      <c r="F6" s="10"/>
      <c r="G6" s="10"/>
      <c r="H6" s="10"/>
      <c r="I6" s="10"/>
      <c r="J6" s="10"/>
      <c r="K6" s="10"/>
      <c r="L6" s="10"/>
      <c r="M6" s="10"/>
      <c r="N6" s="10"/>
      <c r="O6" s="10"/>
      <c r="P6" s="13"/>
      <c r="Q6" s="13"/>
      <c r="R6" s="13"/>
      <c r="S6" s="13"/>
      <c r="T6" s="13"/>
      <c r="U6" s="13"/>
      <c r="V6" s="13"/>
      <c r="W6" s="13"/>
      <c r="Y6" s="13"/>
      <c r="AA6" s="13"/>
      <c r="AB6" s="13"/>
      <c r="AC6" s="13"/>
      <c r="AD6" s="13"/>
      <c r="AE6" s="13"/>
      <c r="AF6" s="13"/>
      <c r="AH6" s="13"/>
      <c r="AI6" s="13"/>
    </row>
    <row r="7" spans="1:35" x14ac:dyDescent="0.3">
      <c r="A7" s="21" t="s">
        <v>320</v>
      </c>
      <c r="B7" s="21" t="s">
        <v>38</v>
      </c>
      <c r="C7" s="1" t="s">
        <v>314</v>
      </c>
      <c r="E7" s="10"/>
      <c r="F7" s="10"/>
      <c r="G7" s="10"/>
      <c r="H7" s="10"/>
      <c r="I7" s="10"/>
      <c r="J7" s="10"/>
      <c r="K7" s="10"/>
      <c r="L7" s="10"/>
      <c r="M7" s="10"/>
      <c r="N7" s="10"/>
      <c r="O7" s="10"/>
      <c r="P7" s="13"/>
      <c r="Q7" s="13"/>
      <c r="R7" s="13"/>
      <c r="S7" s="13"/>
      <c r="T7" s="13"/>
      <c r="U7" s="13"/>
      <c r="V7" s="13"/>
      <c r="W7" s="13"/>
      <c r="X7" s="13"/>
      <c r="Y7" s="13"/>
      <c r="Z7" s="13"/>
      <c r="AA7" s="13"/>
      <c r="AB7" s="13"/>
      <c r="AC7" s="13"/>
      <c r="AD7" s="13"/>
      <c r="AE7" s="13"/>
      <c r="AF7" s="13"/>
      <c r="AH7" s="13"/>
      <c r="AI7" s="13"/>
    </row>
    <row r="8" spans="1:35" x14ac:dyDescent="0.3">
      <c r="A8" s="21" t="s">
        <v>321</v>
      </c>
      <c r="B8" s="21" t="s">
        <v>38</v>
      </c>
      <c r="C8" s="1" t="s">
        <v>314</v>
      </c>
      <c r="E8" s="10"/>
      <c r="F8" s="10"/>
      <c r="G8" s="10"/>
      <c r="H8" s="10"/>
      <c r="I8" s="10"/>
      <c r="J8" s="10"/>
      <c r="K8" s="10"/>
      <c r="L8" s="10"/>
      <c r="M8" s="10"/>
      <c r="N8" s="10"/>
      <c r="O8" s="10"/>
      <c r="P8" s="13"/>
      <c r="Q8" s="13"/>
      <c r="R8" s="13"/>
      <c r="S8" s="13"/>
      <c r="T8" s="13"/>
      <c r="U8" s="13"/>
      <c r="V8" s="13"/>
      <c r="W8" s="13"/>
      <c r="X8" s="13"/>
      <c r="Y8" s="13"/>
      <c r="Z8" s="13"/>
      <c r="AA8" s="13"/>
      <c r="AB8" s="13"/>
      <c r="AC8" s="13"/>
      <c r="AD8" s="13"/>
      <c r="AE8" s="13"/>
      <c r="AF8" s="13"/>
      <c r="AH8" s="13"/>
      <c r="AI8" s="13"/>
    </row>
    <row r="9" spans="1:35" x14ac:dyDescent="0.3">
      <c r="A9" s="21" t="s">
        <v>322</v>
      </c>
      <c r="B9" s="21" t="s">
        <v>38</v>
      </c>
      <c r="C9" s="1" t="s">
        <v>314</v>
      </c>
      <c r="E9" s="10"/>
      <c r="F9" s="10"/>
      <c r="G9" s="10"/>
      <c r="H9" s="10"/>
      <c r="I9" s="10"/>
      <c r="J9" s="10"/>
      <c r="K9" s="10"/>
      <c r="L9" s="10"/>
      <c r="M9" s="10"/>
      <c r="N9" s="10"/>
      <c r="O9" s="10"/>
      <c r="P9" s="13"/>
      <c r="Q9" s="13"/>
      <c r="R9" s="13"/>
      <c r="S9" s="13"/>
      <c r="T9" s="13"/>
      <c r="U9" s="13"/>
      <c r="V9" s="13"/>
      <c r="W9" s="13"/>
      <c r="X9" s="13"/>
      <c r="Y9" s="13"/>
      <c r="Z9" s="13"/>
      <c r="AA9" s="13"/>
      <c r="AB9" s="13"/>
      <c r="AC9" s="13"/>
      <c r="AD9" s="13"/>
      <c r="AE9" s="13"/>
      <c r="AF9" s="13"/>
      <c r="AH9" s="13"/>
      <c r="AI9" s="13"/>
    </row>
    <row r="10" spans="1:35" x14ac:dyDescent="0.3">
      <c r="A10" s="21" t="s">
        <v>323</v>
      </c>
      <c r="B10" s="21" t="s">
        <v>38</v>
      </c>
      <c r="C10" s="1" t="s">
        <v>314</v>
      </c>
      <c r="E10" s="10"/>
      <c r="F10" s="10"/>
      <c r="G10" s="10"/>
      <c r="H10" s="10"/>
      <c r="I10" s="10"/>
      <c r="J10" s="10"/>
      <c r="K10" s="10"/>
      <c r="L10" s="10"/>
      <c r="M10" s="10"/>
      <c r="N10" s="10"/>
      <c r="O10" s="10"/>
      <c r="P10" s="13"/>
      <c r="Q10" s="13"/>
      <c r="R10" s="13"/>
      <c r="S10" s="13"/>
      <c r="T10" s="13"/>
      <c r="U10" s="13"/>
      <c r="V10" s="13"/>
      <c r="W10" s="13"/>
      <c r="X10" s="13"/>
      <c r="Y10" s="13"/>
      <c r="Z10" s="13"/>
      <c r="AA10" s="13"/>
      <c r="AB10" s="13"/>
      <c r="AC10" s="13"/>
      <c r="AD10" s="13"/>
      <c r="AE10" s="13"/>
      <c r="AF10" s="13"/>
      <c r="AH10" s="13"/>
      <c r="AI10" s="13"/>
    </row>
    <row r="11" spans="1:35" x14ac:dyDescent="0.3">
      <c r="A11" s="21" t="s">
        <v>324</v>
      </c>
      <c r="B11" s="21" t="s">
        <v>38</v>
      </c>
      <c r="C11" s="1" t="s">
        <v>314</v>
      </c>
      <c r="E11" s="10"/>
      <c r="F11" s="10"/>
      <c r="G11" s="10"/>
      <c r="H11" s="10"/>
      <c r="I11" s="10"/>
      <c r="J11" s="10"/>
      <c r="K11" s="10"/>
      <c r="L11" s="10"/>
      <c r="M11" s="10"/>
      <c r="N11" s="10"/>
      <c r="O11" s="10"/>
      <c r="P11" s="13"/>
      <c r="Q11" s="13"/>
      <c r="R11" s="13"/>
      <c r="S11" s="13"/>
      <c r="T11" s="13"/>
      <c r="U11" s="13"/>
      <c r="V11" s="13"/>
      <c r="W11" s="13"/>
      <c r="X11" s="13"/>
      <c r="Y11" s="13"/>
      <c r="Z11" s="13"/>
      <c r="AA11" s="13"/>
      <c r="AB11" s="13"/>
      <c r="AC11" s="13"/>
      <c r="AD11" s="13"/>
      <c r="AE11" s="13"/>
      <c r="AF11" s="13"/>
      <c r="AH11" s="13"/>
      <c r="AI11" s="13"/>
    </row>
    <row r="12" spans="1:35" x14ac:dyDescent="0.3">
      <c r="A12" s="21" t="s">
        <v>325</v>
      </c>
      <c r="B12" s="21" t="s">
        <v>38</v>
      </c>
      <c r="C12" s="1" t="s">
        <v>314</v>
      </c>
      <c r="E12" s="10"/>
      <c r="F12" s="10"/>
      <c r="G12" s="10"/>
      <c r="H12" s="10"/>
      <c r="I12" s="10"/>
      <c r="J12" s="10"/>
      <c r="K12" s="10"/>
      <c r="L12" s="10"/>
      <c r="M12" s="10"/>
      <c r="N12" s="10"/>
      <c r="O12" s="10"/>
      <c r="P12" s="13"/>
      <c r="Q12" s="13"/>
      <c r="R12" s="13"/>
      <c r="S12" s="13"/>
      <c r="T12" s="13"/>
      <c r="U12" s="13"/>
      <c r="V12" s="13"/>
      <c r="W12" s="13"/>
      <c r="X12" s="13"/>
      <c r="Y12" s="13"/>
      <c r="Z12" s="13"/>
      <c r="AA12" s="13"/>
      <c r="AB12" s="13"/>
      <c r="AC12" s="13"/>
      <c r="AD12" s="13"/>
      <c r="AE12" s="13"/>
      <c r="AF12" s="13"/>
      <c r="AH12" s="13"/>
      <c r="AI12" s="13"/>
    </row>
    <row r="13" spans="1:35" x14ac:dyDescent="0.3">
      <c r="A13" s="21" t="s">
        <v>326</v>
      </c>
      <c r="B13" s="21" t="s">
        <v>38</v>
      </c>
      <c r="C13" s="1" t="s">
        <v>314</v>
      </c>
      <c r="E13" s="10"/>
      <c r="F13" s="10"/>
      <c r="G13" s="10"/>
      <c r="H13" s="10"/>
      <c r="I13" s="10"/>
      <c r="J13" s="10"/>
      <c r="K13" s="10"/>
      <c r="L13" s="10"/>
      <c r="M13" s="10"/>
      <c r="N13" s="10"/>
      <c r="O13" s="10"/>
      <c r="P13" s="13"/>
      <c r="Q13" s="13"/>
      <c r="R13" s="13"/>
      <c r="S13" s="13"/>
      <c r="T13" s="13"/>
      <c r="U13" s="13"/>
      <c r="V13" s="13"/>
      <c r="W13" s="13"/>
      <c r="X13" s="13"/>
      <c r="Y13" s="13"/>
      <c r="Z13" s="13"/>
      <c r="AA13" s="13"/>
      <c r="AB13" s="13"/>
      <c r="AC13" s="13"/>
      <c r="AD13" s="13"/>
      <c r="AE13" s="13"/>
      <c r="AF13" s="13"/>
      <c r="AH13" s="13"/>
      <c r="AI13" s="13"/>
    </row>
    <row r="14" spans="1:35" x14ac:dyDescent="0.3">
      <c r="A14" s="25" t="s">
        <v>327</v>
      </c>
      <c r="B14" s="25" t="s">
        <v>38</v>
      </c>
      <c r="C14" s="7" t="s">
        <v>314</v>
      </c>
      <c r="D14" s="7" t="s">
        <v>328</v>
      </c>
      <c r="E14" s="15">
        <f t="shared" ref="E14:AE14" si="0">SUM(E3:E13)</f>
        <v>2981184</v>
      </c>
      <c r="F14" s="15">
        <f t="shared" si="0"/>
        <v>3658181</v>
      </c>
      <c r="G14" s="15">
        <f t="shared" si="0"/>
        <v>3761230</v>
      </c>
      <c r="H14" s="15">
        <f t="shared" si="0"/>
        <v>3945264</v>
      </c>
      <c r="I14" s="15">
        <f t="shared" si="0"/>
        <v>4650204</v>
      </c>
      <c r="J14" s="15">
        <f t="shared" si="0"/>
        <v>0</v>
      </c>
      <c r="K14" s="15">
        <f t="shared" si="0"/>
        <v>0</v>
      </c>
      <c r="L14" s="15">
        <f t="shared" si="0"/>
        <v>0</v>
      </c>
      <c r="M14" s="15">
        <f t="shared" si="0"/>
        <v>0</v>
      </c>
      <c r="N14" s="15">
        <f t="shared" si="0"/>
        <v>0</v>
      </c>
      <c r="O14" s="15">
        <f t="shared" si="0"/>
        <v>0</v>
      </c>
      <c r="P14" s="15">
        <f t="shared" si="0"/>
        <v>0</v>
      </c>
      <c r="Q14" s="15">
        <f t="shared" si="0"/>
        <v>0</v>
      </c>
      <c r="R14" s="15">
        <f t="shared" si="0"/>
        <v>0</v>
      </c>
      <c r="S14" s="15">
        <f t="shared" si="0"/>
        <v>6817965</v>
      </c>
      <c r="T14" s="15">
        <f t="shared" si="0"/>
        <v>6810895</v>
      </c>
      <c r="U14" s="15">
        <f t="shared" si="0"/>
        <v>7134754</v>
      </c>
      <c r="V14" s="15">
        <f t="shared" si="0"/>
        <v>0</v>
      </c>
      <c r="W14" s="15">
        <f t="shared" si="0"/>
        <v>0</v>
      </c>
      <c r="X14" s="15">
        <f t="shared" si="0"/>
        <v>7518696</v>
      </c>
      <c r="Y14" s="15">
        <f t="shared" si="0"/>
        <v>7686191</v>
      </c>
      <c r="Z14" s="15">
        <f t="shared" si="0"/>
        <v>8242740.9949999992</v>
      </c>
      <c r="AA14" s="15">
        <f>SUM(AA3:AA13)</f>
        <v>8219117.3399999999</v>
      </c>
      <c r="AB14" s="15">
        <f t="shared" si="0"/>
        <v>0</v>
      </c>
      <c r="AC14" s="15">
        <f t="shared" si="0"/>
        <v>0</v>
      </c>
      <c r="AD14" s="15">
        <f t="shared" si="0"/>
        <v>0</v>
      </c>
      <c r="AE14" s="15">
        <f t="shared" si="0"/>
        <v>0</v>
      </c>
      <c r="AF14" s="15">
        <f>SUM(AF3:AF13)</f>
        <v>9690203</v>
      </c>
      <c r="AG14" s="15">
        <f t="shared" ref="AG14:AI14" si="1">SUM(AG3:AG13)</f>
        <v>10157726</v>
      </c>
      <c r="AH14" s="15">
        <f t="shared" si="1"/>
        <v>0</v>
      </c>
      <c r="AI14" s="15">
        <f t="shared" si="1"/>
        <v>0</v>
      </c>
    </row>
    <row r="15" spans="1:35" x14ac:dyDescent="0.3">
      <c r="A15" s="21" t="s">
        <v>329</v>
      </c>
      <c r="B15" s="21" t="s">
        <v>38</v>
      </c>
      <c r="C15" s="1" t="s">
        <v>330</v>
      </c>
      <c r="D15" s="1" t="s">
        <v>331</v>
      </c>
      <c r="E15" s="1">
        <v>170550</v>
      </c>
      <c r="F15" s="13">
        <v>201804</v>
      </c>
      <c r="G15" s="13">
        <v>200110</v>
      </c>
      <c r="H15" s="13">
        <v>185374</v>
      </c>
      <c r="I15" s="13">
        <v>235403</v>
      </c>
      <c r="J15" s="13"/>
      <c r="K15" s="13"/>
      <c r="L15" s="13"/>
      <c r="M15" s="13"/>
      <c r="N15" s="13"/>
      <c r="O15" s="13"/>
      <c r="P15" s="13"/>
      <c r="Q15" s="13"/>
      <c r="R15" s="13"/>
      <c r="S15" s="13">
        <v>6486</v>
      </c>
      <c r="T15" s="13">
        <v>13533</v>
      </c>
      <c r="U15" s="13">
        <v>28295</v>
      </c>
      <c r="V15" s="13"/>
      <c r="W15" s="13"/>
      <c r="X15" s="13"/>
      <c r="Y15" s="13"/>
      <c r="Z15" s="13"/>
      <c r="AA15" s="13"/>
      <c r="AB15" s="13"/>
      <c r="AC15" s="13"/>
      <c r="AD15" s="13"/>
      <c r="AE15" s="13"/>
      <c r="AF15" s="13">
        <v>6151866</v>
      </c>
      <c r="AG15" s="1">
        <v>6335002</v>
      </c>
      <c r="AH15" s="13"/>
      <c r="AI15" s="13"/>
    </row>
    <row r="16" spans="1:35" x14ac:dyDescent="0.3">
      <c r="A16" s="21" t="s">
        <v>332</v>
      </c>
      <c r="B16" s="21" t="s">
        <v>38</v>
      </c>
      <c r="C16" s="1" t="s">
        <v>330</v>
      </c>
      <c r="D16" s="1" t="s">
        <v>333</v>
      </c>
      <c r="E16" s="13">
        <v>1827230</v>
      </c>
      <c r="F16" s="13">
        <v>1924494</v>
      </c>
      <c r="G16" s="13">
        <v>1871456</v>
      </c>
      <c r="H16" s="13">
        <v>1931535</v>
      </c>
      <c r="I16" s="13">
        <v>2251773</v>
      </c>
      <c r="J16" s="13"/>
      <c r="K16" s="13"/>
      <c r="L16" s="13"/>
      <c r="M16" s="13"/>
      <c r="N16" s="13"/>
      <c r="O16" s="13"/>
      <c r="P16" s="13"/>
      <c r="Q16" s="13"/>
      <c r="R16" s="13"/>
      <c r="S16" s="13">
        <v>3770889</v>
      </c>
      <c r="T16" s="13">
        <v>3633594</v>
      </c>
      <c r="U16" s="13">
        <v>3670769</v>
      </c>
      <c r="V16" s="13"/>
      <c r="W16" s="13"/>
      <c r="X16" s="13">
        <v>5632564</v>
      </c>
      <c r="Y16" s="13">
        <v>5745504</v>
      </c>
      <c r="Z16" s="13">
        <v>6031105</v>
      </c>
      <c r="AA16" s="13">
        <v>6007861</v>
      </c>
      <c r="AB16" s="13"/>
      <c r="AC16" s="13"/>
      <c r="AD16" s="13"/>
      <c r="AE16" s="13"/>
      <c r="AF16" s="13">
        <v>556083</v>
      </c>
      <c r="AG16" s="1">
        <v>730855</v>
      </c>
      <c r="AH16" s="13"/>
      <c r="AI16" s="13"/>
    </row>
    <row r="17" spans="1:39" x14ac:dyDescent="0.3">
      <c r="A17" s="21" t="s">
        <v>334</v>
      </c>
      <c r="B17" s="21" t="s">
        <v>38</v>
      </c>
      <c r="C17" s="1" t="s">
        <v>330</v>
      </c>
      <c r="D17" s="1" t="s">
        <v>335</v>
      </c>
      <c r="E17" s="13">
        <v>273533</v>
      </c>
      <c r="F17" s="13">
        <v>333927</v>
      </c>
      <c r="G17" s="13">
        <v>370873</v>
      </c>
      <c r="H17" s="13">
        <v>424787</v>
      </c>
      <c r="I17" s="13">
        <v>456070</v>
      </c>
      <c r="J17" s="13"/>
      <c r="K17" s="13"/>
      <c r="L17" s="13"/>
      <c r="M17" s="13"/>
      <c r="N17" s="13"/>
      <c r="O17" s="13"/>
      <c r="P17" s="13"/>
      <c r="Q17" s="13"/>
      <c r="R17" s="13"/>
      <c r="S17" s="13">
        <v>1495402</v>
      </c>
      <c r="T17" s="13">
        <v>1565714</v>
      </c>
      <c r="U17" s="13">
        <v>1590897</v>
      </c>
      <c r="V17" s="13"/>
      <c r="W17" s="13"/>
      <c r="X17" s="13"/>
      <c r="Y17" s="13"/>
      <c r="Z17" s="13"/>
      <c r="AA17" s="13"/>
      <c r="AB17" s="13"/>
      <c r="AC17" s="13"/>
      <c r="AD17" s="13"/>
      <c r="AE17" s="13"/>
      <c r="AF17" s="13">
        <v>1841967</v>
      </c>
      <c r="AG17" s="1">
        <v>1875020</v>
      </c>
      <c r="AH17" s="13"/>
      <c r="AI17" s="13"/>
    </row>
    <row r="18" spans="1:39" x14ac:dyDescent="0.3">
      <c r="A18" s="21" t="s">
        <v>336</v>
      </c>
      <c r="B18" s="21" t="s">
        <v>38</v>
      </c>
      <c r="C18" s="1" t="s">
        <v>330</v>
      </c>
      <c r="E18" s="13"/>
      <c r="F18" s="13"/>
      <c r="G18" s="13"/>
      <c r="H18" s="13"/>
      <c r="I18" s="13"/>
      <c r="J18" s="13"/>
      <c r="K18" s="13"/>
      <c r="L18" s="13"/>
      <c r="M18" s="13"/>
      <c r="N18" s="13"/>
      <c r="O18" s="13"/>
      <c r="P18" s="13"/>
      <c r="Q18" s="13"/>
      <c r="R18" s="13"/>
      <c r="S18" s="13"/>
      <c r="T18" s="13"/>
      <c r="U18" s="13"/>
      <c r="V18" s="13"/>
      <c r="W18" s="13"/>
      <c r="X18" s="13"/>
      <c r="Y18" s="13"/>
      <c r="Z18" s="13"/>
      <c r="AA18" s="13"/>
      <c r="AB18" s="13"/>
      <c r="AC18" s="13"/>
      <c r="AD18" s="13"/>
      <c r="AE18" s="13"/>
      <c r="AF18" s="13"/>
      <c r="AH18" s="13"/>
      <c r="AI18" s="13"/>
    </row>
    <row r="19" spans="1:39" x14ac:dyDescent="0.3">
      <c r="A19" s="21" t="s">
        <v>337</v>
      </c>
      <c r="B19" s="21" t="s">
        <v>38</v>
      </c>
      <c r="C19" s="1" t="s">
        <v>330</v>
      </c>
      <c r="E19" s="13"/>
      <c r="F19" s="13"/>
      <c r="G19" s="13"/>
      <c r="H19" s="13"/>
      <c r="I19" s="13"/>
      <c r="J19" s="13"/>
      <c r="K19" s="13"/>
      <c r="L19" s="13"/>
      <c r="M19" s="13"/>
      <c r="N19" s="13"/>
      <c r="O19" s="13"/>
      <c r="P19" s="13"/>
      <c r="Q19" s="13"/>
      <c r="R19" s="13"/>
      <c r="S19" s="13"/>
      <c r="T19" s="13"/>
      <c r="U19" s="13"/>
      <c r="V19" s="13"/>
      <c r="W19" s="13"/>
      <c r="X19" s="13"/>
      <c r="Y19" s="13"/>
      <c r="Z19" s="13"/>
      <c r="AA19" s="13"/>
      <c r="AB19" s="13"/>
      <c r="AC19" s="13"/>
      <c r="AD19" s="13"/>
      <c r="AE19" s="13"/>
      <c r="AF19" s="13"/>
      <c r="AH19" s="13"/>
      <c r="AI19" s="13"/>
    </row>
    <row r="20" spans="1:39" x14ac:dyDescent="0.3">
      <c r="A20" s="21" t="s">
        <v>338</v>
      </c>
      <c r="B20" s="21" t="s">
        <v>38</v>
      </c>
      <c r="C20" s="1" t="s">
        <v>330</v>
      </c>
      <c r="E20" s="13"/>
      <c r="F20" s="13"/>
      <c r="G20" s="13"/>
      <c r="H20" s="13"/>
      <c r="I20" s="13"/>
      <c r="J20" s="13"/>
      <c r="K20" s="13"/>
      <c r="L20" s="13"/>
      <c r="M20" s="13"/>
      <c r="N20" s="13"/>
      <c r="O20" s="13"/>
      <c r="P20" s="13"/>
      <c r="Q20" s="13"/>
      <c r="R20" s="13"/>
      <c r="S20" s="13"/>
      <c r="T20" s="13"/>
      <c r="U20" s="13"/>
      <c r="V20" s="13"/>
      <c r="W20" s="13"/>
      <c r="X20" s="13"/>
      <c r="Y20" s="13"/>
      <c r="Z20" s="13"/>
      <c r="AA20" s="13"/>
      <c r="AB20" s="13"/>
      <c r="AC20" s="13"/>
      <c r="AD20" s="13"/>
      <c r="AE20" s="13"/>
      <c r="AF20" s="13"/>
      <c r="AH20" s="13"/>
      <c r="AI20" s="13"/>
    </row>
    <row r="21" spans="1:39" x14ac:dyDescent="0.3">
      <c r="A21" s="25" t="s">
        <v>339</v>
      </c>
      <c r="B21" s="25" t="s">
        <v>38</v>
      </c>
      <c r="C21" s="7" t="s">
        <v>330</v>
      </c>
      <c r="D21" s="7" t="s">
        <v>340</v>
      </c>
      <c r="E21" s="15">
        <f t="shared" ref="E21:AE21" si="2">SUM(E15:E20)</f>
        <v>2271313</v>
      </c>
      <c r="F21" s="15">
        <f t="shared" si="2"/>
        <v>2460225</v>
      </c>
      <c r="G21" s="15">
        <f t="shared" si="2"/>
        <v>2442439</v>
      </c>
      <c r="H21" s="15">
        <f t="shared" si="2"/>
        <v>2541696</v>
      </c>
      <c r="I21" s="15">
        <f>SUM(I15:I20)</f>
        <v>2943246</v>
      </c>
      <c r="J21" s="15">
        <f t="shared" si="2"/>
        <v>0</v>
      </c>
      <c r="K21" s="15">
        <f t="shared" si="2"/>
        <v>0</v>
      </c>
      <c r="L21" s="15">
        <f t="shared" si="2"/>
        <v>0</v>
      </c>
      <c r="M21" s="15">
        <f t="shared" si="2"/>
        <v>0</v>
      </c>
      <c r="N21" s="15">
        <f t="shared" si="2"/>
        <v>0</v>
      </c>
      <c r="O21" s="15">
        <f t="shared" si="2"/>
        <v>0</v>
      </c>
      <c r="P21" s="15">
        <f t="shared" si="2"/>
        <v>0</v>
      </c>
      <c r="Q21" s="15">
        <f t="shared" si="2"/>
        <v>0</v>
      </c>
      <c r="R21" s="15">
        <f t="shared" si="2"/>
        <v>0</v>
      </c>
      <c r="S21" s="15">
        <f t="shared" si="2"/>
        <v>5272777</v>
      </c>
      <c r="T21" s="15">
        <f t="shared" si="2"/>
        <v>5212841</v>
      </c>
      <c r="U21" s="15">
        <f t="shared" si="2"/>
        <v>5289961</v>
      </c>
      <c r="V21" s="15">
        <f t="shared" si="2"/>
        <v>0</v>
      </c>
      <c r="W21" s="15">
        <f t="shared" si="2"/>
        <v>0</v>
      </c>
      <c r="X21" s="15">
        <f t="shared" si="2"/>
        <v>5632564</v>
      </c>
      <c r="Y21" s="15">
        <f t="shared" si="2"/>
        <v>5745504</v>
      </c>
      <c r="Z21" s="15">
        <f t="shared" si="2"/>
        <v>6031105</v>
      </c>
      <c r="AA21" s="15">
        <f t="shared" si="2"/>
        <v>6007861</v>
      </c>
      <c r="AB21" s="15">
        <f t="shared" si="2"/>
        <v>0</v>
      </c>
      <c r="AC21" s="15">
        <f t="shared" si="2"/>
        <v>0</v>
      </c>
      <c r="AD21" s="15">
        <f t="shared" si="2"/>
        <v>0</v>
      </c>
      <c r="AE21" s="15">
        <f t="shared" si="2"/>
        <v>0</v>
      </c>
      <c r="AF21" s="15">
        <f>SUM(AF15:AF20)</f>
        <v>8549916</v>
      </c>
      <c r="AG21" s="15">
        <f>SUM(AG15:AG20)</f>
        <v>8940877</v>
      </c>
      <c r="AH21" s="15">
        <f>SUM(AH15:AH20)</f>
        <v>0</v>
      </c>
      <c r="AI21" s="15">
        <f>SUM(AI15:AI20)</f>
        <v>0</v>
      </c>
    </row>
    <row r="22" spans="1:39" x14ac:dyDescent="0.3">
      <c r="A22" s="25" t="s">
        <v>341</v>
      </c>
      <c r="B22" s="25" t="s">
        <v>38</v>
      </c>
      <c r="C22" s="7" t="s">
        <v>342</v>
      </c>
      <c r="D22" s="7" t="s">
        <v>343</v>
      </c>
      <c r="E22" s="16">
        <f t="shared" ref="E22:AE22" si="3">E14-E21</f>
        <v>709871</v>
      </c>
      <c r="F22" s="16">
        <f t="shared" si="3"/>
        <v>1197956</v>
      </c>
      <c r="G22" s="16">
        <f t="shared" si="3"/>
        <v>1318791</v>
      </c>
      <c r="H22" s="16">
        <f t="shared" si="3"/>
        <v>1403568</v>
      </c>
      <c r="I22" s="16">
        <f t="shared" si="3"/>
        <v>1706958</v>
      </c>
      <c r="J22" s="16">
        <f t="shared" si="3"/>
        <v>0</v>
      </c>
      <c r="K22" s="16">
        <f t="shared" si="3"/>
        <v>0</v>
      </c>
      <c r="L22" s="16">
        <f t="shared" si="3"/>
        <v>0</v>
      </c>
      <c r="M22" s="16">
        <f t="shared" si="3"/>
        <v>0</v>
      </c>
      <c r="N22" s="16">
        <f t="shared" si="3"/>
        <v>0</v>
      </c>
      <c r="O22" s="16">
        <f t="shared" si="3"/>
        <v>0</v>
      </c>
      <c r="P22" s="16">
        <f t="shared" si="3"/>
        <v>0</v>
      </c>
      <c r="Q22" s="16">
        <f t="shared" si="3"/>
        <v>0</v>
      </c>
      <c r="R22" s="16">
        <f t="shared" si="3"/>
        <v>0</v>
      </c>
      <c r="S22" s="16">
        <f>S14-S21</f>
        <v>1545188</v>
      </c>
      <c r="T22" s="16">
        <f>T14-T21</f>
        <v>1598054</v>
      </c>
      <c r="U22" s="16">
        <f>U14-U21</f>
        <v>1844793</v>
      </c>
      <c r="V22" s="16">
        <f t="shared" si="3"/>
        <v>0</v>
      </c>
      <c r="W22" s="16">
        <f t="shared" si="3"/>
        <v>0</v>
      </c>
      <c r="X22" s="16">
        <f t="shared" si="3"/>
        <v>1886132</v>
      </c>
      <c r="Y22" s="16">
        <f t="shared" si="3"/>
        <v>1940687</v>
      </c>
      <c r="Z22" s="16">
        <f t="shared" si="3"/>
        <v>2211635.9949999992</v>
      </c>
      <c r="AA22" s="16">
        <f t="shared" si="3"/>
        <v>2211256.34</v>
      </c>
      <c r="AB22" s="16">
        <f t="shared" si="3"/>
        <v>0</v>
      </c>
      <c r="AC22" s="16">
        <f t="shared" si="3"/>
        <v>0</v>
      </c>
      <c r="AD22" s="16">
        <f t="shared" si="3"/>
        <v>0</v>
      </c>
      <c r="AE22" s="16">
        <f t="shared" si="3"/>
        <v>0</v>
      </c>
      <c r="AF22" s="16">
        <f>AF14-AF21</f>
        <v>1140287</v>
      </c>
      <c r="AG22" s="16">
        <f>AG14-AG21</f>
        <v>1216849</v>
      </c>
      <c r="AH22" s="16">
        <f>AH14-AH21</f>
        <v>0</v>
      </c>
      <c r="AI22" s="16">
        <f>AI14-AI21</f>
        <v>0</v>
      </c>
    </row>
    <row r="23" spans="1:39" x14ac:dyDescent="0.3">
      <c r="A23" s="21" t="s">
        <v>344</v>
      </c>
      <c r="B23" s="21" t="s">
        <v>38</v>
      </c>
      <c r="C23" s="1" t="s">
        <v>342</v>
      </c>
      <c r="E23" s="13"/>
      <c r="F23" s="13"/>
      <c r="G23" s="13"/>
      <c r="H23" s="13"/>
      <c r="I23" s="13"/>
      <c r="J23" s="13"/>
      <c r="K23" s="13"/>
      <c r="L23" s="13"/>
      <c r="M23" s="13"/>
      <c r="N23" s="13"/>
      <c r="O23" s="13"/>
      <c r="P23" s="13"/>
      <c r="Q23" s="13"/>
      <c r="R23" s="13"/>
      <c r="S23" s="13"/>
      <c r="T23" s="13"/>
      <c r="U23" s="13"/>
      <c r="V23" s="13"/>
      <c r="W23" s="13"/>
      <c r="X23" s="13"/>
      <c r="Y23" s="13"/>
      <c r="Z23" s="13"/>
      <c r="AA23" s="13"/>
      <c r="AB23" s="13"/>
      <c r="AC23" s="13"/>
      <c r="AD23" s="13"/>
      <c r="AE23" s="13"/>
      <c r="AF23" s="13"/>
      <c r="AG23" s="13"/>
      <c r="AH23" s="13"/>
      <c r="AI23" s="13"/>
    </row>
    <row r="24" spans="1:39" x14ac:dyDescent="0.3">
      <c r="A24" s="21" t="s">
        <v>345</v>
      </c>
      <c r="B24" s="21" t="s">
        <v>38</v>
      </c>
      <c r="C24" s="1" t="s">
        <v>342</v>
      </c>
      <c r="E24" s="13"/>
      <c r="F24" s="13"/>
      <c r="G24" s="13"/>
      <c r="H24" s="13"/>
      <c r="I24" s="13"/>
      <c r="J24" s="13"/>
      <c r="K24" s="13"/>
      <c r="L24" s="13"/>
      <c r="M24" s="13"/>
      <c r="N24" s="13"/>
      <c r="O24" s="13"/>
      <c r="P24" s="13"/>
      <c r="Q24" s="13"/>
      <c r="R24" s="13"/>
      <c r="S24" s="13"/>
      <c r="T24" s="13"/>
      <c r="U24" s="13"/>
      <c r="V24" s="13"/>
      <c r="W24" s="13"/>
      <c r="X24" s="13"/>
      <c r="Y24" s="13"/>
      <c r="Z24" s="13"/>
      <c r="AA24" s="13"/>
      <c r="AB24" s="13"/>
      <c r="AC24" s="13"/>
      <c r="AD24" s="13"/>
      <c r="AE24" s="13"/>
      <c r="AF24" s="13"/>
      <c r="AG24" s="13"/>
      <c r="AH24" s="13"/>
      <c r="AI24" s="13"/>
    </row>
    <row r="25" spans="1:39" x14ac:dyDescent="0.3">
      <c r="A25" s="21" t="s">
        <v>346</v>
      </c>
      <c r="B25" s="21" t="s">
        <v>38</v>
      </c>
      <c r="C25" s="1" t="s">
        <v>342</v>
      </c>
      <c r="E25" s="13"/>
      <c r="F25" s="13"/>
      <c r="G25" s="13"/>
      <c r="H25" s="13"/>
      <c r="I25" s="13"/>
      <c r="J25" s="13"/>
      <c r="K25" s="13"/>
      <c r="L25" s="13"/>
      <c r="M25" s="13"/>
      <c r="N25" s="13"/>
      <c r="O25" s="13"/>
      <c r="P25" s="13"/>
      <c r="Q25" s="13"/>
      <c r="R25" s="13"/>
      <c r="S25" s="13"/>
      <c r="T25" s="13"/>
      <c r="U25" s="13"/>
      <c r="V25" s="13"/>
      <c r="W25" s="13"/>
      <c r="X25" s="13"/>
      <c r="Y25" s="13"/>
      <c r="Z25" s="13"/>
      <c r="AA25" s="13"/>
      <c r="AB25" s="13"/>
      <c r="AC25" s="13"/>
      <c r="AD25" s="13"/>
      <c r="AE25" s="13"/>
      <c r="AF25" s="13"/>
      <c r="AG25" s="13"/>
      <c r="AH25" s="13"/>
      <c r="AI25" s="13"/>
    </row>
    <row r="26" spans="1:39" x14ac:dyDescent="0.3">
      <c r="A26" s="21" t="s">
        <v>347</v>
      </c>
      <c r="B26" s="21" t="s">
        <v>38</v>
      </c>
      <c r="C26" s="1" t="s">
        <v>342</v>
      </c>
      <c r="E26" s="13"/>
      <c r="F26" s="13"/>
      <c r="G26" s="13"/>
      <c r="H26" s="13"/>
      <c r="I26" s="13"/>
      <c r="J26" s="13"/>
      <c r="K26" s="13"/>
      <c r="L26" s="13"/>
      <c r="M26" s="13"/>
      <c r="N26" s="13"/>
      <c r="O26" s="13"/>
      <c r="P26" s="13"/>
      <c r="Q26" s="13"/>
      <c r="R26" s="13"/>
      <c r="S26" s="13"/>
      <c r="T26" s="13"/>
      <c r="U26" s="13"/>
      <c r="V26" s="13"/>
      <c r="W26" s="13"/>
      <c r="X26" s="13"/>
      <c r="Y26" s="13"/>
      <c r="Z26" s="13"/>
      <c r="AA26" s="13"/>
      <c r="AB26" s="13"/>
      <c r="AC26" s="13"/>
      <c r="AD26" s="13"/>
      <c r="AE26" s="13"/>
      <c r="AF26" s="13"/>
      <c r="AG26" s="13"/>
      <c r="AH26" s="13"/>
      <c r="AI26" s="13"/>
    </row>
    <row r="27" spans="1:39" x14ac:dyDescent="0.3">
      <c r="A27" s="21" t="s">
        <v>348</v>
      </c>
      <c r="B27" s="21" t="s">
        <v>38</v>
      </c>
      <c r="C27" s="1" t="s">
        <v>342</v>
      </c>
      <c r="E27" s="13"/>
      <c r="F27" s="13"/>
      <c r="G27" s="13"/>
      <c r="H27" s="13"/>
      <c r="I27" s="13"/>
      <c r="J27" s="13"/>
      <c r="K27" s="13"/>
      <c r="L27" s="13"/>
      <c r="M27" s="13"/>
      <c r="N27" s="13"/>
      <c r="O27" s="13"/>
      <c r="P27" s="13"/>
      <c r="Q27" s="13"/>
      <c r="R27" s="13"/>
      <c r="S27" s="13"/>
      <c r="T27" s="13"/>
      <c r="U27" s="13"/>
      <c r="V27" s="13"/>
      <c r="W27" s="13"/>
      <c r="X27" s="13"/>
      <c r="Y27" s="13"/>
      <c r="Z27" s="13"/>
      <c r="AA27" s="13"/>
      <c r="AB27" s="13"/>
      <c r="AC27" s="13"/>
      <c r="AD27" s="13"/>
      <c r="AE27" s="13"/>
      <c r="AF27" s="13"/>
      <c r="AG27" s="13"/>
      <c r="AH27" s="13"/>
      <c r="AI27" s="13"/>
    </row>
    <row r="28" spans="1:39" x14ac:dyDescent="0.3">
      <c r="A28" s="25" t="s">
        <v>349</v>
      </c>
      <c r="B28" s="25" t="s">
        <v>38</v>
      </c>
      <c r="C28" s="7" t="s">
        <v>342</v>
      </c>
      <c r="D28" s="7" t="s">
        <v>350</v>
      </c>
      <c r="E28" s="15">
        <f t="shared" ref="E28:AE28" si="4">SUM(E22:E27)</f>
        <v>709871</v>
      </c>
      <c r="F28" s="15">
        <f t="shared" si="4"/>
        <v>1197956</v>
      </c>
      <c r="G28" s="15">
        <f t="shared" si="4"/>
        <v>1318791</v>
      </c>
      <c r="H28" s="15">
        <f t="shared" si="4"/>
        <v>1403568</v>
      </c>
      <c r="I28" s="15">
        <f t="shared" si="4"/>
        <v>1706958</v>
      </c>
      <c r="J28" s="15">
        <f t="shared" si="4"/>
        <v>0</v>
      </c>
      <c r="K28" s="15">
        <f t="shared" si="4"/>
        <v>0</v>
      </c>
      <c r="L28" s="15">
        <f t="shared" si="4"/>
        <v>0</v>
      </c>
      <c r="M28" s="15">
        <f t="shared" si="4"/>
        <v>0</v>
      </c>
      <c r="N28" s="15">
        <f t="shared" si="4"/>
        <v>0</v>
      </c>
      <c r="O28" s="15">
        <f t="shared" si="4"/>
        <v>0</v>
      </c>
      <c r="P28" s="15">
        <f t="shared" si="4"/>
        <v>0</v>
      </c>
      <c r="Q28" s="15">
        <f t="shared" si="4"/>
        <v>0</v>
      </c>
      <c r="R28" s="15">
        <f t="shared" si="4"/>
        <v>0</v>
      </c>
      <c r="S28" s="15">
        <f t="shared" si="4"/>
        <v>1545188</v>
      </c>
      <c r="T28" s="15">
        <f t="shared" si="4"/>
        <v>1598054</v>
      </c>
      <c r="U28" s="15">
        <f t="shared" si="4"/>
        <v>1844793</v>
      </c>
      <c r="V28" s="15">
        <f t="shared" si="4"/>
        <v>0</v>
      </c>
      <c r="W28" s="15">
        <f t="shared" si="4"/>
        <v>0</v>
      </c>
      <c r="X28" s="15">
        <f t="shared" si="4"/>
        <v>1886132</v>
      </c>
      <c r="Y28" s="15">
        <f t="shared" si="4"/>
        <v>1940687</v>
      </c>
      <c r="Z28" s="15">
        <f t="shared" si="4"/>
        <v>2211635.9949999992</v>
      </c>
      <c r="AA28" s="15">
        <f t="shared" si="4"/>
        <v>2211256.34</v>
      </c>
      <c r="AB28" s="15">
        <f t="shared" si="4"/>
        <v>0</v>
      </c>
      <c r="AC28" s="15">
        <f t="shared" si="4"/>
        <v>0</v>
      </c>
      <c r="AD28" s="15">
        <f t="shared" si="4"/>
        <v>0</v>
      </c>
      <c r="AE28" s="15">
        <f t="shared" si="4"/>
        <v>0</v>
      </c>
      <c r="AF28" s="15">
        <f>SUM(AF22:AF27)</f>
        <v>1140287</v>
      </c>
      <c r="AG28" s="15">
        <f>SUM(AG22:AG27)</f>
        <v>1216849</v>
      </c>
      <c r="AH28" s="15">
        <f>SUM(AH22:AH27)</f>
        <v>0</v>
      </c>
      <c r="AI28" s="15">
        <f>SUM(AI22:AI27)</f>
        <v>0</v>
      </c>
    </row>
    <row r="29" spans="1:39" x14ac:dyDescent="0.3">
      <c r="A29" s="25" t="s">
        <v>351</v>
      </c>
      <c r="B29" s="25" t="s">
        <v>38</v>
      </c>
      <c r="C29" s="7" t="s">
        <v>352</v>
      </c>
      <c r="D29" s="7" t="s">
        <v>353</v>
      </c>
      <c r="E29" s="15">
        <v>-383432</v>
      </c>
      <c r="F29" s="15">
        <v>-337452</v>
      </c>
      <c r="G29" s="15">
        <v>-303476</v>
      </c>
      <c r="H29" s="15">
        <v>-351902</v>
      </c>
      <c r="I29" s="15">
        <v>-414719</v>
      </c>
      <c r="J29" s="15"/>
      <c r="K29" s="15"/>
      <c r="L29" s="15"/>
      <c r="M29" s="15"/>
      <c r="N29" s="15"/>
      <c r="O29" s="15"/>
      <c r="P29" s="15"/>
      <c r="Q29" s="15"/>
      <c r="R29" s="15"/>
      <c r="S29" s="15">
        <v>-534078</v>
      </c>
      <c r="T29" s="15">
        <v>-199692</v>
      </c>
      <c r="U29" s="15">
        <v>-289421</v>
      </c>
      <c r="V29" s="15"/>
      <c r="W29" s="15"/>
      <c r="X29" s="15">
        <f>344217-674881</f>
        <v>-330664</v>
      </c>
      <c r="Y29" s="15">
        <f>268823-621022</f>
        <v>-352199</v>
      </c>
      <c r="Z29" s="15">
        <f>171840-579550</f>
        <v>-407710</v>
      </c>
      <c r="AA29" s="15">
        <v>668775</v>
      </c>
      <c r="AB29" s="15"/>
      <c r="AC29" s="15"/>
      <c r="AD29" s="15"/>
      <c r="AE29" s="15"/>
      <c r="AF29" s="15">
        <v>802058</v>
      </c>
      <c r="AG29" s="15">
        <v>45210</v>
      </c>
      <c r="AH29" s="15"/>
      <c r="AI29" s="15"/>
    </row>
    <row r="30" spans="1:39" x14ac:dyDescent="0.3">
      <c r="A30" s="25" t="s">
        <v>354</v>
      </c>
      <c r="B30" s="25" t="s">
        <v>38</v>
      </c>
      <c r="C30" s="7" t="s">
        <v>355</v>
      </c>
      <c r="D30" s="7" t="s">
        <v>355</v>
      </c>
      <c r="E30" s="15">
        <f t="shared" ref="E30:H30" si="5">E28+E29</f>
        <v>326439</v>
      </c>
      <c r="F30" s="15">
        <f t="shared" si="5"/>
        <v>860504</v>
      </c>
      <c r="G30" s="15">
        <f t="shared" si="5"/>
        <v>1015315</v>
      </c>
      <c r="H30" s="15">
        <f t="shared" si="5"/>
        <v>1051666</v>
      </c>
      <c r="I30" s="15">
        <f>I28+I29</f>
        <v>1292239</v>
      </c>
      <c r="J30" s="15"/>
      <c r="K30" s="15"/>
      <c r="L30" s="15"/>
      <c r="M30" s="15"/>
      <c r="N30" s="15"/>
      <c r="O30" s="15"/>
      <c r="P30" s="15"/>
      <c r="Q30" s="15"/>
      <c r="R30" s="15"/>
      <c r="S30" s="15">
        <f>S28+S29</f>
        <v>1011110</v>
      </c>
      <c r="T30" s="15">
        <f t="shared" ref="T30:U30" si="6">T28+T29</f>
        <v>1398362</v>
      </c>
      <c r="U30" s="15">
        <f t="shared" si="6"/>
        <v>1555372</v>
      </c>
      <c r="V30" s="15"/>
      <c r="W30" s="15"/>
      <c r="X30" s="15">
        <f>X29+X28</f>
        <v>1555468</v>
      </c>
      <c r="Y30" s="15">
        <f t="shared" ref="Y30:AA30" si="7">Y29+Y28</f>
        <v>1588488</v>
      </c>
      <c r="Z30" s="15">
        <f t="shared" si="7"/>
        <v>1803925.9949999992</v>
      </c>
      <c r="AA30" s="15">
        <f t="shared" si="7"/>
        <v>2880031.34</v>
      </c>
      <c r="AB30" s="15"/>
      <c r="AC30" s="15"/>
      <c r="AD30" s="15"/>
      <c r="AE30" s="15"/>
      <c r="AF30" s="15">
        <f>AF28+AF29</f>
        <v>1942345</v>
      </c>
      <c r="AG30" s="15">
        <f>AG28+AG29</f>
        <v>1262059</v>
      </c>
      <c r="AH30" s="15">
        <f t="shared" ref="AH30:AI30" si="8">AH28+AH29</f>
        <v>0</v>
      </c>
      <c r="AI30" s="15">
        <f t="shared" si="8"/>
        <v>0</v>
      </c>
      <c r="AJ30" s="15"/>
      <c r="AK30" s="15"/>
      <c r="AL30" s="15"/>
      <c r="AM30" s="15"/>
    </row>
    <row r="31" spans="1:39" x14ac:dyDescent="0.3">
      <c r="A31" s="25" t="s">
        <v>356</v>
      </c>
      <c r="B31" s="25" t="s">
        <v>38</v>
      </c>
      <c r="C31" s="7" t="s">
        <v>357</v>
      </c>
      <c r="D31" s="7" t="s">
        <v>358</v>
      </c>
      <c r="E31" s="15">
        <v>7367683</v>
      </c>
      <c r="F31" s="15">
        <v>7214918</v>
      </c>
      <c r="G31" s="15">
        <v>8121696</v>
      </c>
      <c r="H31" s="15">
        <v>9191142</v>
      </c>
      <c r="I31" s="15">
        <v>10338679</v>
      </c>
      <c r="J31" s="15">
        <v>11700673</v>
      </c>
      <c r="K31" s="15"/>
      <c r="L31" s="15"/>
      <c r="M31" s="15"/>
      <c r="N31" s="15"/>
      <c r="O31" s="15"/>
      <c r="P31" s="15"/>
      <c r="Q31" s="15"/>
      <c r="R31" s="15"/>
      <c r="S31" s="15">
        <v>23996596</v>
      </c>
      <c r="T31" s="15">
        <v>25093836</v>
      </c>
      <c r="U31" s="15">
        <v>24416259</v>
      </c>
      <c r="V31" s="15">
        <v>27997174</v>
      </c>
      <c r="W31" s="15"/>
      <c r="X31" s="15"/>
      <c r="Y31" s="15"/>
      <c r="Z31" s="15">
        <v>38804627</v>
      </c>
      <c r="AA31" s="15">
        <v>40608553</v>
      </c>
      <c r="AB31" s="15"/>
      <c r="AC31" s="15"/>
      <c r="AD31" s="15"/>
      <c r="AE31" s="15"/>
      <c r="AF31" s="15">
        <v>64532610</v>
      </c>
      <c r="AG31" s="15">
        <v>66474955</v>
      </c>
      <c r="AH31" s="15">
        <v>67737014</v>
      </c>
      <c r="AI31" s="15"/>
    </row>
    <row r="32" spans="1:39" x14ac:dyDescent="0.3">
      <c r="A32" s="25" t="s">
        <v>359</v>
      </c>
      <c r="B32" s="25" t="s">
        <v>38</v>
      </c>
      <c r="C32" s="7" t="s">
        <v>357</v>
      </c>
      <c r="D32" s="7" t="s">
        <v>360</v>
      </c>
      <c r="E32" s="15">
        <v>7214918</v>
      </c>
      <c r="F32" s="15">
        <v>8121696</v>
      </c>
      <c r="G32" s="15">
        <v>9191142</v>
      </c>
      <c r="H32" s="15">
        <v>10338679</v>
      </c>
      <c r="I32" s="15">
        <v>11700673</v>
      </c>
      <c r="J32" s="15"/>
      <c r="K32" s="15"/>
      <c r="L32" s="15"/>
      <c r="M32" s="15"/>
      <c r="N32" s="15"/>
      <c r="O32" s="15"/>
      <c r="P32" s="15"/>
      <c r="Q32" s="15"/>
      <c r="R32" s="15"/>
      <c r="S32" s="15">
        <v>25093936</v>
      </c>
      <c r="T32" s="15">
        <v>26416259</v>
      </c>
      <c r="U32" s="15">
        <v>27997174</v>
      </c>
      <c r="V32" s="15"/>
      <c r="W32" s="15"/>
      <c r="X32" s="15"/>
      <c r="Y32" s="15"/>
      <c r="Z32" s="15">
        <v>40608553</v>
      </c>
      <c r="AA32" s="15">
        <v>43488584</v>
      </c>
      <c r="AB32" s="15"/>
      <c r="AC32" s="15"/>
      <c r="AD32" s="15"/>
      <c r="AE32" s="15"/>
      <c r="AF32" s="15">
        <v>66474955</v>
      </c>
      <c r="AG32" s="15">
        <v>67737014</v>
      </c>
      <c r="AH32" s="15"/>
      <c r="AI32" s="15"/>
    </row>
    <row r="33" spans="1:45" x14ac:dyDescent="0.3">
      <c r="A33" s="25" t="s">
        <v>361</v>
      </c>
      <c r="B33" s="25" t="s">
        <v>38</v>
      </c>
      <c r="C33" s="7" t="s">
        <v>362</v>
      </c>
      <c r="D33" s="7" t="s">
        <v>362</v>
      </c>
      <c r="E33" s="15">
        <f>E32-E31</f>
        <v>-152765</v>
      </c>
      <c r="F33" s="15">
        <f t="shared" ref="F33:R33" si="9">F32-F31</f>
        <v>906778</v>
      </c>
      <c r="G33" s="15">
        <f t="shared" si="9"/>
        <v>1069446</v>
      </c>
      <c r="H33" s="15">
        <f t="shared" si="9"/>
        <v>1147537</v>
      </c>
      <c r="I33" s="15">
        <f t="shared" si="9"/>
        <v>1361994</v>
      </c>
      <c r="J33" s="15">
        <f t="shared" si="9"/>
        <v>-11700673</v>
      </c>
      <c r="K33" s="15">
        <f t="shared" si="9"/>
        <v>0</v>
      </c>
      <c r="L33" s="15">
        <f t="shared" si="9"/>
        <v>0</v>
      </c>
      <c r="M33" s="15">
        <f t="shared" si="9"/>
        <v>0</v>
      </c>
      <c r="N33" s="15">
        <f t="shared" si="9"/>
        <v>0</v>
      </c>
      <c r="O33" s="15">
        <f t="shared" si="9"/>
        <v>0</v>
      </c>
      <c r="P33" s="15">
        <f t="shared" si="9"/>
        <v>0</v>
      </c>
      <c r="Q33" s="15">
        <f t="shared" si="9"/>
        <v>0</v>
      </c>
      <c r="R33" s="15">
        <f t="shared" si="9"/>
        <v>0</v>
      </c>
      <c r="S33" s="15">
        <f>S32-S31</f>
        <v>1097340</v>
      </c>
      <c r="T33" s="15">
        <f t="shared" ref="T33:U33" si="10">T32-T31</f>
        <v>1322423</v>
      </c>
      <c r="U33" s="15">
        <f t="shared" si="10"/>
        <v>3580915</v>
      </c>
      <c r="V33" s="15"/>
      <c r="W33" s="15"/>
      <c r="X33" s="15"/>
      <c r="Y33" s="15"/>
      <c r="Z33" s="15">
        <f>Z32-Z31</f>
        <v>1803926</v>
      </c>
      <c r="AA33" s="15">
        <f>AA32-AA31</f>
        <v>2880031</v>
      </c>
      <c r="AB33" s="15"/>
      <c r="AC33" s="15"/>
      <c r="AD33" s="15"/>
      <c r="AE33" s="15"/>
      <c r="AF33" s="15">
        <f>AF32-AF31</f>
        <v>1942345</v>
      </c>
      <c r="AG33" s="15">
        <f t="shared" ref="AG33:AS33" si="11">AG32-AG31</f>
        <v>1262059</v>
      </c>
      <c r="AH33" s="15">
        <f t="shared" si="11"/>
        <v>-67737014</v>
      </c>
      <c r="AI33" s="15">
        <f t="shared" si="11"/>
        <v>0</v>
      </c>
      <c r="AJ33" s="15">
        <f t="shared" si="11"/>
        <v>0</v>
      </c>
      <c r="AK33" s="15">
        <f t="shared" si="11"/>
        <v>0</v>
      </c>
      <c r="AL33" s="15">
        <f t="shared" si="11"/>
        <v>0</v>
      </c>
      <c r="AM33" s="15">
        <f t="shared" si="11"/>
        <v>0</v>
      </c>
      <c r="AN33" s="15">
        <f t="shared" si="11"/>
        <v>0</v>
      </c>
      <c r="AO33" s="15">
        <f t="shared" si="11"/>
        <v>0</v>
      </c>
      <c r="AP33" s="15">
        <f t="shared" si="11"/>
        <v>0</v>
      </c>
      <c r="AQ33" s="15">
        <f t="shared" si="11"/>
        <v>0</v>
      </c>
      <c r="AR33" s="15">
        <f t="shared" si="11"/>
        <v>0</v>
      </c>
      <c r="AS33" s="15">
        <f t="shared" si="11"/>
        <v>0</v>
      </c>
    </row>
  </sheetData>
  <phoneticPr fontId="5" type="noConversion"/>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1406E6-3C80-F943-9E6B-3D8A087374A8}">
  <dimension ref="A1:AI58"/>
  <sheetViews>
    <sheetView topLeftCell="A17" workbookViewId="0">
      <pane xSplit="4" topLeftCell="E1" activePane="topRight" state="frozen"/>
      <selection pane="topRight" activeCell="D30" sqref="D30"/>
    </sheetView>
  </sheetViews>
  <sheetFormatPr defaultColWidth="11.44140625" defaultRowHeight="14.4" x14ac:dyDescent="0.3"/>
  <cols>
    <col min="1" max="2" width="10.88671875" style="1"/>
    <col min="3" max="3" width="22.6640625" style="1" customWidth="1"/>
    <col min="4" max="4" width="27.21875" style="1" customWidth="1"/>
    <col min="5" max="5" width="12.6640625" style="1" bestFit="1" customWidth="1"/>
    <col min="6" max="6" width="12.109375" style="1" customWidth="1"/>
    <col min="7" max="9" width="11.33203125" style="1" bestFit="1" customWidth="1"/>
    <col min="10" max="18" width="11" style="1" bestFit="1" customWidth="1"/>
    <col min="19" max="21" width="11.6640625" style="1" bestFit="1" customWidth="1"/>
    <col min="22" max="35" width="11" style="1" bestFit="1" customWidth="1"/>
  </cols>
  <sheetData>
    <row r="1" spans="1:35" x14ac:dyDescent="0.3">
      <c r="E1" s="10"/>
      <c r="F1" s="11" t="s">
        <v>277</v>
      </c>
      <c r="G1" s="12"/>
      <c r="H1" s="12"/>
      <c r="I1" s="12"/>
      <c r="J1" s="12"/>
      <c r="K1" s="12"/>
      <c r="L1" s="10"/>
      <c r="M1" s="10"/>
      <c r="N1" s="10"/>
      <c r="O1" s="10"/>
      <c r="P1" s="13"/>
      <c r="Q1" s="13"/>
      <c r="R1" s="13"/>
      <c r="S1" s="13" t="s">
        <v>363</v>
      </c>
      <c r="T1" s="13"/>
      <c r="U1" s="13"/>
      <c r="V1" s="13"/>
      <c r="W1" s="13"/>
      <c r="X1" s="13"/>
      <c r="Y1" s="14" t="s">
        <v>278</v>
      </c>
      <c r="Z1" s="13"/>
      <c r="AA1" s="13"/>
      <c r="AB1" s="13"/>
      <c r="AC1" s="14" t="s">
        <v>279</v>
      </c>
      <c r="AD1" s="13"/>
      <c r="AE1" s="13"/>
      <c r="AF1" s="13"/>
      <c r="AG1" s="13"/>
      <c r="AH1" s="13"/>
    </row>
    <row r="2" spans="1:35" x14ac:dyDescent="0.3">
      <c r="A2" s="2" t="s">
        <v>17</v>
      </c>
      <c r="B2" s="2" t="s">
        <v>280</v>
      </c>
      <c r="C2" s="2" t="s">
        <v>281</v>
      </c>
      <c r="D2" s="2" t="s">
        <v>282</v>
      </c>
      <c r="E2" s="5" t="s">
        <v>283</v>
      </c>
      <c r="F2" s="5" t="s">
        <v>284</v>
      </c>
      <c r="G2" s="5" t="s">
        <v>285</v>
      </c>
      <c r="H2" s="5" t="s">
        <v>286</v>
      </c>
      <c r="I2" s="5" t="s">
        <v>287</v>
      </c>
      <c r="J2" s="5" t="s">
        <v>288</v>
      </c>
      <c r="K2" s="5" t="s">
        <v>289</v>
      </c>
      <c r="L2" s="5" t="s">
        <v>290</v>
      </c>
      <c r="M2" s="5" t="s">
        <v>291</v>
      </c>
      <c r="N2" s="5" t="s">
        <v>292</v>
      </c>
      <c r="O2" s="5" t="s">
        <v>293</v>
      </c>
      <c r="P2" s="5" t="s">
        <v>294</v>
      </c>
      <c r="Q2" s="5" t="s">
        <v>295</v>
      </c>
      <c r="R2" s="5" t="s">
        <v>296</v>
      </c>
      <c r="S2" s="5" t="s">
        <v>297</v>
      </c>
      <c r="T2" s="5" t="s">
        <v>298</v>
      </c>
      <c r="U2" s="5" t="s">
        <v>299</v>
      </c>
      <c r="V2" s="5" t="s">
        <v>300</v>
      </c>
      <c r="W2" s="5" t="s">
        <v>301</v>
      </c>
      <c r="X2" s="5" t="s">
        <v>302</v>
      </c>
      <c r="Y2" s="5" t="s">
        <v>303</v>
      </c>
      <c r="Z2" s="5" t="s">
        <v>304</v>
      </c>
      <c r="AA2" s="5" t="s">
        <v>305</v>
      </c>
      <c r="AB2" s="5" t="s">
        <v>306</v>
      </c>
      <c r="AC2" s="5" t="s">
        <v>307</v>
      </c>
      <c r="AD2" s="5" t="s">
        <v>308</v>
      </c>
      <c r="AE2" s="5" t="s">
        <v>309</v>
      </c>
      <c r="AF2" s="5" t="s">
        <v>310</v>
      </c>
      <c r="AG2" s="5" t="s">
        <v>311</v>
      </c>
      <c r="AH2" s="5" t="s">
        <v>312</v>
      </c>
      <c r="AI2" s="5" t="s">
        <v>313</v>
      </c>
    </row>
    <row r="3" spans="1:35" x14ac:dyDescent="0.3">
      <c r="A3" s="21" t="s">
        <v>37</v>
      </c>
      <c r="B3" s="21" t="s">
        <v>38</v>
      </c>
      <c r="C3" s="1" t="s">
        <v>364</v>
      </c>
      <c r="D3" s="1" t="s">
        <v>365</v>
      </c>
      <c r="E3" s="10">
        <v>136656</v>
      </c>
      <c r="F3" s="10">
        <v>223416</v>
      </c>
      <c r="G3" s="10">
        <v>216605</v>
      </c>
      <c r="H3" s="10">
        <v>130734</v>
      </c>
      <c r="I3" s="10">
        <v>211639</v>
      </c>
      <c r="J3" s="10"/>
      <c r="K3" s="10"/>
      <c r="L3" s="10"/>
      <c r="M3" s="10"/>
      <c r="N3" s="10"/>
      <c r="O3" s="10"/>
      <c r="P3" s="13"/>
      <c r="Q3" s="13"/>
      <c r="R3" s="13"/>
      <c r="S3" s="13">
        <v>198635</v>
      </c>
      <c r="T3" s="13">
        <v>211337</v>
      </c>
      <c r="U3" s="13">
        <v>202761</v>
      </c>
      <c r="V3" s="13"/>
      <c r="W3" s="13"/>
      <c r="X3" s="13"/>
      <c r="Y3" s="13"/>
      <c r="Z3" s="13"/>
      <c r="AA3" s="13"/>
      <c r="AB3" s="13"/>
      <c r="AC3" s="13"/>
      <c r="AD3" s="13"/>
      <c r="AE3" s="13"/>
      <c r="AF3" s="13">
        <v>106123</v>
      </c>
      <c r="AG3" s="13">
        <v>328994</v>
      </c>
      <c r="AH3" s="13"/>
      <c r="AI3" s="13"/>
    </row>
    <row r="4" spans="1:35" x14ac:dyDescent="0.3">
      <c r="A4" s="1" t="str">
        <f>$A$3</f>
        <v>PA2408010</v>
      </c>
      <c r="B4" s="21" t="s">
        <v>38</v>
      </c>
      <c r="C4" s="1" t="s">
        <v>364</v>
      </c>
      <c r="D4" s="1" t="s">
        <v>366</v>
      </c>
      <c r="E4" s="10">
        <v>165991</v>
      </c>
      <c r="F4" s="10">
        <v>215752</v>
      </c>
      <c r="G4" s="10">
        <v>280453</v>
      </c>
      <c r="H4" s="10">
        <v>288634</v>
      </c>
      <c r="I4" s="10">
        <v>328462</v>
      </c>
      <c r="J4" s="10"/>
      <c r="K4" s="10"/>
      <c r="L4" s="10"/>
      <c r="M4" s="10"/>
      <c r="N4" s="10"/>
      <c r="O4" s="10"/>
      <c r="P4" s="13"/>
      <c r="Q4" s="13"/>
      <c r="R4" s="13"/>
      <c r="S4" s="13">
        <v>473897</v>
      </c>
      <c r="T4" s="13">
        <v>520151</v>
      </c>
      <c r="U4" s="13">
        <v>513810</v>
      </c>
      <c r="V4" s="13"/>
      <c r="W4" s="13"/>
      <c r="X4" s="13"/>
      <c r="Y4" s="13"/>
      <c r="Z4" s="13"/>
      <c r="AA4" s="13"/>
      <c r="AB4" s="13"/>
      <c r="AC4" s="13"/>
      <c r="AD4" s="13"/>
      <c r="AE4" s="13"/>
      <c r="AF4" s="13">
        <v>2271494</v>
      </c>
      <c r="AG4" s="13">
        <v>2322064</v>
      </c>
      <c r="AH4" s="13"/>
      <c r="AI4" s="13"/>
    </row>
    <row r="5" spans="1:35" x14ac:dyDescent="0.3">
      <c r="A5" s="1" t="str">
        <f t="shared" ref="A5:A58" si="0">$A$3</f>
        <v>PA2408010</v>
      </c>
      <c r="B5" s="21" t="s">
        <v>38</v>
      </c>
      <c r="C5" s="1" t="s">
        <v>364</v>
      </c>
      <c r="D5" s="1" t="s">
        <v>367</v>
      </c>
      <c r="E5" s="10">
        <v>167931</v>
      </c>
      <c r="F5" s="10">
        <v>164629</v>
      </c>
      <c r="G5" s="10">
        <v>234642</v>
      </c>
      <c r="H5" s="10">
        <v>216273</v>
      </c>
      <c r="I5" s="10">
        <v>201741</v>
      </c>
      <c r="J5" s="10"/>
      <c r="K5" s="10"/>
      <c r="L5" s="10"/>
      <c r="M5" s="10"/>
      <c r="N5" s="10"/>
      <c r="O5" s="10"/>
      <c r="P5" s="13"/>
      <c r="Q5" s="13"/>
      <c r="R5" s="13"/>
      <c r="S5" s="13">
        <v>209269</v>
      </c>
      <c r="T5" s="13">
        <v>209269</v>
      </c>
      <c r="U5" s="13">
        <v>209269</v>
      </c>
      <c r="V5" s="13"/>
      <c r="W5" s="13"/>
      <c r="X5" s="13"/>
      <c r="Y5" s="13"/>
      <c r="Z5" s="13"/>
      <c r="AA5" s="13"/>
      <c r="AB5" s="13"/>
      <c r="AC5" s="13"/>
      <c r="AD5" s="13"/>
      <c r="AE5" s="13"/>
      <c r="AF5" s="13">
        <v>794188</v>
      </c>
      <c r="AG5" s="13">
        <v>677103</v>
      </c>
      <c r="AH5" s="13"/>
      <c r="AI5" s="13"/>
    </row>
    <row r="6" spans="1:35" x14ac:dyDescent="0.3">
      <c r="A6" s="1" t="str">
        <f t="shared" si="0"/>
        <v>PA2408010</v>
      </c>
      <c r="B6" s="21" t="s">
        <v>38</v>
      </c>
      <c r="C6" s="1" t="s">
        <v>364</v>
      </c>
      <c r="D6" s="1" t="s">
        <v>368</v>
      </c>
      <c r="E6" s="10">
        <v>377454</v>
      </c>
      <c r="F6" s="10">
        <v>474847</v>
      </c>
      <c r="G6" s="10">
        <v>472061</v>
      </c>
      <c r="H6" s="10">
        <v>474633</v>
      </c>
      <c r="I6" s="10">
        <v>555602</v>
      </c>
      <c r="J6" s="10"/>
      <c r="K6" s="10"/>
      <c r="L6" s="10"/>
      <c r="M6" s="10"/>
      <c r="N6" s="10"/>
      <c r="O6" s="10"/>
      <c r="P6" s="13"/>
      <c r="Q6" s="13"/>
      <c r="R6" s="13"/>
      <c r="S6" s="13">
        <v>579881</v>
      </c>
      <c r="T6" s="13">
        <v>608528</v>
      </c>
      <c r="U6" s="13">
        <v>633972</v>
      </c>
      <c r="V6" s="13"/>
      <c r="W6" s="13"/>
      <c r="X6" s="13"/>
      <c r="Y6" s="13"/>
      <c r="Z6" s="13"/>
      <c r="AA6" s="13"/>
      <c r="AB6" s="13"/>
      <c r="AC6" s="13"/>
      <c r="AD6" s="13"/>
      <c r="AE6" s="13"/>
      <c r="AF6" s="13">
        <v>423080</v>
      </c>
      <c r="AG6" s="13">
        <v>602120</v>
      </c>
      <c r="AH6" s="13"/>
      <c r="AI6" s="13"/>
    </row>
    <row r="7" spans="1:35" x14ac:dyDescent="0.3">
      <c r="A7" s="1" t="str">
        <f t="shared" si="0"/>
        <v>PA2408010</v>
      </c>
      <c r="B7" s="21" t="s">
        <v>38</v>
      </c>
      <c r="C7" s="1" t="s">
        <v>364</v>
      </c>
      <c r="D7" s="1" t="s">
        <v>369</v>
      </c>
      <c r="E7" s="10">
        <v>31094</v>
      </c>
      <c r="F7" s="10">
        <v>33032</v>
      </c>
      <c r="G7" s="10">
        <v>9136</v>
      </c>
      <c r="H7" s="10">
        <v>30968</v>
      </c>
      <c r="I7" s="10">
        <v>41361</v>
      </c>
      <c r="J7" s="10"/>
      <c r="K7" s="10"/>
      <c r="L7" s="10"/>
      <c r="M7" s="10"/>
      <c r="N7" s="10"/>
      <c r="O7" s="10"/>
      <c r="P7" s="13"/>
      <c r="Q7" s="13"/>
      <c r="R7" s="13"/>
      <c r="S7" s="13">
        <v>16194</v>
      </c>
      <c r="T7" s="13">
        <v>15992</v>
      </c>
      <c r="U7" s="13">
        <v>2356</v>
      </c>
      <c r="V7" s="13"/>
      <c r="W7" s="13"/>
      <c r="X7" s="13"/>
      <c r="Y7" s="13"/>
      <c r="Z7" s="13"/>
      <c r="AA7" s="13"/>
      <c r="AB7" s="13"/>
      <c r="AC7" s="13"/>
      <c r="AD7" s="13"/>
      <c r="AE7" s="13"/>
      <c r="AF7" s="13">
        <v>316285</v>
      </c>
      <c r="AG7" s="13">
        <v>335587</v>
      </c>
      <c r="AH7" s="13"/>
      <c r="AI7" s="13"/>
    </row>
    <row r="8" spans="1:35" x14ac:dyDescent="0.3">
      <c r="A8" s="1" t="str">
        <f t="shared" si="0"/>
        <v>PA2408010</v>
      </c>
      <c r="B8" s="21" t="s">
        <v>38</v>
      </c>
      <c r="C8" s="1" t="s">
        <v>364</v>
      </c>
      <c r="D8" s="1" t="s">
        <v>370</v>
      </c>
      <c r="E8" s="10"/>
      <c r="F8" s="10"/>
      <c r="G8" s="10"/>
      <c r="H8" s="10"/>
      <c r="I8" s="10"/>
      <c r="J8" s="10"/>
      <c r="K8" s="10"/>
      <c r="L8" s="10"/>
      <c r="M8" s="10"/>
      <c r="N8" s="10"/>
      <c r="O8" s="10"/>
      <c r="P8" s="13"/>
      <c r="Q8" s="13"/>
      <c r="R8" s="13"/>
      <c r="S8" s="13"/>
      <c r="T8" s="13"/>
      <c r="U8" s="13"/>
      <c r="V8" s="13"/>
      <c r="W8" s="13"/>
      <c r="X8" s="13"/>
      <c r="Y8" s="13"/>
      <c r="Z8" s="13"/>
      <c r="AA8" s="13"/>
      <c r="AB8" s="13"/>
      <c r="AC8" s="13"/>
      <c r="AD8" s="13"/>
      <c r="AE8" s="13"/>
      <c r="AF8" s="13">
        <v>-1853358</v>
      </c>
      <c r="AG8" s="13">
        <v>-2477428</v>
      </c>
      <c r="AH8" s="13"/>
      <c r="AI8" s="13"/>
    </row>
    <row r="9" spans="1:35" x14ac:dyDescent="0.3">
      <c r="A9" s="1" t="str">
        <f t="shared" si="0"/>
        <v>PA2408010</v>
      </c>
      <c r="B9" s="21" t="s">
        <v>38</v>
      </c>
      <c r="C9" s="1" t="s">
        <v>364</v>
      </c>
      <c r="E9" s="10"/>
      <c r="F9" s="10"/>
      <c r="G9" s="10"/>
      <c r="H9" s="10"/>
      <c r="I9" s="10"/>
      <c r="J9" s="10"/>
      <c r="K9" s="10"/>
      <c r="L9" s="10"/>
      <c r="M9" s="10"/>
      <c r="N9" s="10"/>
      <c r="O9" s="10"/>
      <c r="P9" s="13"/>
      <c r="Q9" s="13"/>
      <c r="R9" s="13"/>
      <c r="S9" s="13"/>
      <c r="T9" s="13"/>
      <c r="U9" s="13"/>
      <c r="V9" s="13"/>
      <c r="W9" s="13"/>
      <c r="X9" s="13"/>
      <c r="Y9" s="13"/>
      <c r="Z9" s="13"/>
      <c r="AA9" s="13"/>
      <c r="AB9" s="13"/>
      <c r="AC9" s="13"/>
      <c r="AD9" s="13"/>
      <c r="AE9" s="13"/>
      <c r="AF9" s="13"/>
      <c r="AG9" s="13"/>
      <c r="AH9" s="13"/>
      <c r="AI9" s="13"/>
    </row>
    <row r="10" spans="1:35" x14ac:dyDescent="0.3">
      <c r="A10" s="1" t="str">
        <f t="shared" si="0"/>
        <v>PA2408010</v>
      </c>
      <c r="B10" s="21" t="s">
        <v>38</v>
      </c>
      <c r="C10" s="1" t="s">
        <v>364</v>
      </c>
      <c r="E10" s="10"/>
      <c r="F10" s="10"/>
      <c r="G10" s="10"/>
      <c r="H10" s="10"/>
      <c r="I10" s="10"/>
      <c r="J10" s="10"/>
      <c r="K10" s="10"/>
      <c r="L10" s="10"/>
      <c r="M10" s="10"/>
      <c r="N10" s="10"/>
      <c r="O10" s="10"/>
      <c r="P10" s="13"/>
      <c r="Q10" s="13"/>
      <c r="R10" s="13"/>
      <c r="S10" s="13"/>
      <c r="T10" s="13"/>
      <c r="U10" s="13"/>
      <c r="V10" s="13"/>
      <c r="W10" s="13"/>
      <c r="X10" s="13"/>
      <c r="Y10" s="13"/>
      <c r="Z10" s="13"/>
      <c r="AA10" s="13"/>
      <c r="AB10" s="13"/>
      <c r="AC10" s="13"/>
      <c r="AD10" s="13"/>
      <c r="AE10" s="13"/>
      <c r="AF10" s="13"/>
      <c r="AG10" s="13"/>
      <c r="AH10" s="13"/>
      <c r="AI10" s="13"/>
    </row>
    <row r="11" spans="1:35" s="38" customFormat="1" x14ac:dyDescent="0.3">
      <c r="A11" s="7" t="str">
        <f t="shared" si="0"/>
        <v>PA2408010</v>
      </c>
      <c r="B11" s="25" t="s">
        <v>38</v>
      </c>
      <c r="C11" s="7" t="s">
        <v>364</v>
      </c>
      <c r="D11" s="7"/>
      <c r="E11" s="15">
        <f t="shared" ref="E11:AE11" si="1">SUM(E3:E7)</f>
        <v>879126</v>
      </c>
      <c r="F11" s="15">
        <f t="shared" si="1"/>
        <v>1111676</v>
      </c>
      <c r="G11" s="15">
        <f t="shared" si="1"/>
        <v>1212897</v>
      </c>
      <c r="H11" s="15">
        <f t="shared" si="1"/>
        <v>1141242</v>
      </c>
      <c r="I11" s="15">
        <f t="shared" si="1"/>
        <v>1338805</v>
      </c>
      <c r="J11" s="15">
        <f t="shared" si="1"/>
        <v>0</v>
      </c>
      <c r="K11" s="15">
        <f t="shared" si="1"/>
        <v>0</v>
      </c>
      <c r="L11" s="15">
        <f t="shared" si="1"/>
        <v>0</v>
      </c>
      <c r="M11" s="15">
        <f t="shared" si="1"/>
        <v>0</v>
      </c>
      <c r="N11" s="15">
        <f t="shared" si="1"/>
        <v>0</v>
      </c>
      <c r="O11" s="15">
        <f t="shared" si="1"/>
        <v>0</v>
      </c>
      <c r="P11" s="15">
        <f t="shared" si="1"/>
        <v>0</v>
      </c>
      <c r="Q11" s="15">
        <f t="shared" si="1"/>
        <v>0</v>
      </c>
      <c r="R11" s="15">
        <f t="shared" si="1"/>
        <v>0</v>
      </c>
      <c r="S11" s="15">
        <f t="shared" si="1"/>
        <v>1477876</v>
      </c>
      <c r="T11" s="15">
        <f t="shared" si="1"/>
        <v>1565277</v>
      </c>
      <c r="U11" s="15">
        <f t="shared" si="1"/>
        <v>1562168</v>
      </c>
      <c r="V11" s="15">
        <f t="shared" si="1"/>
        <v>0</v>
      </c>
      <c r="W11" s="15">
        <f t="shared" si="1"/>
        <v>0</v>
      </c>
      <c r="X11" s="15">
        <f t="shared" si="1"/>
        <v>0</v>
      </c>
      <c r="Y11" s="15">
        <f t="shared" si="1"/>
        <v>0</v>
      </c>
      <c r="Z11" s="15">
        <f t="shared" si="1"/>
        <v>0</v>
      </c>
      <c r="AA11" s="15">
        <f t="shared" si="1"/>
        <v>0</v>
      </c>
      <c r="AB11" s="15">
        <f t="shared" si="1"/>
        <v>0</v>
      </c>
      <c r="AC11" s="15">
        <f t="shared" si="1"/>
        <v>0</v>
      </c>
      <c r="AD11" s="15">
        <f t="shared" si="1"/>
        <v>0</v>
      </c>
      <c r="AE11" s="15">
        <f t="shared" si="1"/>
        <v>0</v>
      </c>
      <c r="AF11" s="15">
        <f>SUM(AF3:AF8)</f>
        <v>2057812</v>
      </c>
      <c r="AG11" s="15">
        <f>SUM(AG3:AG8)</f>
        <v>1788440</v>
      </c>
      <c r="AH11" s="15">
        <f>SUM(AH3:AH7)</f>
        <v>0</v>
      </c>
      <c r="AI11" s="15">
        <f>SUM(AI3:AI7)</f>
        <v>0</v>
      </c>
    </row>
    <row r="12" spans="1:35" x14ac:dyDescent="0.3">
      <c r="A12" s="1" t="str">
        <f t="shared" si="0"/>
        <v>PA2408010</v>
      </c>
      <c r="B12" s="21" t="s">
        <v>38</v>
      </c>
      <c r="C12" s="1" t="s">
        <v>371</v>
      </c>
      <c r="D12" s="1" t="s">
        <v>372</v>
      </c>
      <c r="E12" s="10">
        <v>2406058</v>
      </c>
      <c r="F12" s="10">
        <v>2572006</v>
      </c>
      <c r="G12" s="10">
        <v>2548416</v>
      </c>
      <c r="H12" s="10">
        <v>1756247</v>
      </c>
      <c r="I12" s="10">
        <v>3015077</v>
      </c>
      <c r="J12" s="10"/>
      <c r="K12" s="10"/>
      <c r="L12" s="10"/>
      <c r="M12" s="10"/>
      <c r="N12" s="10"/>
      <c r="O12" s="10"/>
      <c r="P12" s="13"/>
      <c r="Q12" s="13"/>
      <c r="R12" s="13"/>
      <c r="S12" s="13">
        <v>7033461</v>
      </c>
      <c r="T12" s="13">
        <v>6587773</v>
      </c>
      <c r="U12" s="13">
        <v>6562878</v>
      </c>
      <c r="V12" s="13"/>
      <c r="W12" s="13"/>
      <c r="X12" s="13"/>
      <c r="Y12" s="13"/>
      <c r="Z12" s="13"/>
      <c r="AA12" s="13"/>
      <c r="AB12" s="13"/>
      <c r="AC12" s="13"/>
      <c r="AD12" s="13"/>
      <c r="AE12" s="13"/>
      <c r="AF12" s="13">
        <v>4103061</v>
      </c>
      <c r="AG12" s="13">
        <v>4700667</v>
      </c>
      <c r="AH12" s="13"/>
      <c r="AI12" s="13"/>
    </row>
    <row r="13" spans="1:35" s="39" customFormat="1" x14ac:dyDescent="0.3">
      <c r="A13" s="34" t="str">
        <f t="shared" si="0"/>
        <v>PA2408010</v>
      </c>
      <c r="B13" s="21" t="s">
        <v>38</v>
      </c>
      <c r="C13" s="34" t="s">
        <v>371</v>
      </c>
      <c r="D13" s="34" t="s">
        <v>373</v>
      </c>
      <c r="E13" s="37">
        <v>135404</v>
      </c>
      <c r="F13" s="37">
        <v>137680</v>
      </c>
      <c r="G13" s="37">
        <v>65100</v>
      </c>
      <c r="H13" s="37">
        <v>62055</v>
      </c>
      <c r="I13" s="37">
        <v>71489</v>
      </c>
      <c r="J13" s="37"/>
      <c r="K13" s="37"/>
      <c r="L13" s="37"/>
      <c r="M13" s="37"/>
      <c r="N13" s="37"/>
      <c r="O13" s="37"/>
      <c r="P13" s="37"/>
      <c r="Q13" s="37"/>
      <c r="R13" s="37"/>
      <c r="S13" s="37"/>
      <c r="T13" s="37"/>
      <c r="U13" s="37"/>
      <c r="V13" s="37"/>
      <c r="W13" s="37"/>
      <c r="X13" s="37"/>
      <c r="Y13" s="37"/>
      <c r="Z13" s="37"/>
      <c r="AA13" s="37"/>
      <c r="AB13" s="37"/>
      <c r="AC13" s="37"/>
      <c r="AD13" s="37"/>
      <c r="AE13" s="37"/>
      <c r="AF13" s="37"/>
      <c r="AG13" s="37"/>
      <c r="AH13" s="37"/>
      <c r="AI13" s="37"/>
    </row>
    <row r="14" spans="1:35" x14ac:dyDescent="0.3">
      <c r="A14" s="1" t="str">
        <f t="shared" si="0"/>
        <v>PA2408010</v>
      </c>
      <c r="B14" s="21" t="s">
        <v>38</v>
      </c>
      <c r="C14" s="34" t="s">
        <v>371</v>
      </c>
      <c r="D14" s="1" t="s">
        <v>74</v>
      </c>
      <c r="E14" s="10">
        <v>10136</v>
      </c>
      <c r="F14" s="10">
        <v>15459</v>
      </c>
      <c r="G14" s="10">
        <v>12845</v>
      </c>
      <c r="H14" s="10">
        <v>9681</v>
      </c>
      <c r="I14" s="10">
        <v>6437</v>
      </c>
      <c r="J14" s="10"/>
      <c r="K14" s="10"/>
      <c r="L14" s="10"/>
      <c r="M14" s="10"/>
      <c r="N14" s="10"/>
      <c r="O14" s="10"/>
      <c r="P14" s="13"/>
      <c r="Q14" s="13"/>
      <c r="R14" s="13"/>
      <c r="S14" s="13">
        <v>75032</v>
      </c>
      <c r="T14" s="13">
        <v>56574</v>
      </c>
      <c r="U14" s="13">
        <v>37399</v>
      </c>
      <c r="V14" s="13"/>
      <c r="W14" s="13"/>
      <c r="X14" s="13"/>
      <c r="Y14" s="13"/>
      <c r="Z14" s="13"/>
      <c r="AA14" s="13"/>
      <c r="AB14" s="13"/>
      <c r="AC14" s="13"/>
      <c r="AD14" s="13"/>
      <c r="AE14" s="13"/>
      <c r="AF14" s="13"/>
      <c r="AG14" s="13"/>
      <c r="AH14" s="13"/>
      <c r="AI14" s="13"/>
    </row>
    <row r="15" spans="1:35" x14ac:dyDescent="0.3">
      <c r="A15" s="1" t="str">
        <f t="shared" si="0"/>
        <v>PA2408010</v>
      </c>
      <c r="B15" s="21" t="s">
        <v>38</v>
      </c>
      <c r="C15" s="1" t="s">
        <v>371</v>
      </c>
      <c r="E15" s="13"/>
      <c r="F15" s="13"/>
      <c r="G15" s="13"/>
      <c r="H15" s="13"/>
      <c r="I15" s="13"/>
      <c r="J15" s="13"/>
      <c r="K15" s="13"/>
      <c r="L15" s="13"/>
      <c r="M15" s="13"/>
      <c r="N15" s="13"/>
      <c r="O15" s="13"/>
      <c r="P15" s="13"/>
      <c r="Q15" s="13"/>
      <c r="R15" s="13"/>
      <c r="S15" s="13"/>
      <c r="T15" s="13"/>
      <c r="U15" s="13"/>
      <c r="V15" s="13"/>
      <c r="W15" s="13"/>
      <c r="X15" s="13"/>
      <c r="Y15" s="13"/>
      <c r="Z15" s="13"/>
      <c r="AA15" s="13"/>
      <c r="AB15" s="13"/>
      <c r="AC15" s="13"/>
      <c r="AD15" s="13"/>
      <c r="AE15" s="13"/>
      <c r="AF15" s="13"/>
      <c r="AG15" s="13"/>
      <c r="AH15" s="13"/>
      <c r="AI15" s="13"/>
    </row>
    <row r="16" spans="1:35" x14ac:dyDescent="0.3">
      <c r="A16" s="1" t="str">
        <f t="shared" si="0"/>
        <v>PA2408010</v>
      </c>
      <c r="B16" s="21" t="s">
        <v>38</v>
      </c>
      <c r="C16" s="1" t="s">
        <v>371</v>
      </c>
      <c r="E16" s="13"/>
      <c r="F16" s="13"/>
      <c r="G16" s="13"/>
      <c r="H16" s="13"/>
      <c r="I16" s="13"/>
      <c r="J16" s="13"/>
      <c r="K16" s="13"/>
      <c r="L16" s="13"/>
      <c r="M16" s="13"/>
      <c r="N16" s="13"/>
      <c r="O16" s="13"/>
      <c r="P16" s="13"/>
      <c r="Q16" s="13"/>
      <c r="R16" s="13"/>
      <c r="S16" s="13"/>
      <c r="T16" s="13"/>
      <c r="U16" s="13"/>
      <c r="V16" s="13"/>
      <c r="W16" s="13"/>
      <c r="X16" s="13"/>
      <c r="Y16" s="13"/>
      <c r="Z16" s="13"/>
      <c r="AA16" s="13"/>
      <c r="AB16" s="13"/>
      <c r="AC16" s="13"/>
      <c r="AD16" s="13"/>
      <c r="AE16" s="13"/>
      <c r="AF16" s="13"/>
      <c r="AG16" s="13"/>
      <c r="AH16" s="13"/>
      <c r="AI16" s="13"/>
    </row>
    <row r="17" spans="1:35" s="38" customFormat="1" x14ac:dyDescent="0.3">
      <c r="A17" s="7" t="str">
        <f t="shared" si="0"/>
        <v>PA2408010</v>
      </c>
      <c r="B17" s="25" t="s">
        <v>38</v>
      </c>
      <c r="C17" s="7" t="s">
        <v>371</v>
      </c>
      <c r="D17" s="7"/>
      <c r="E17" s="16">
        <f t="shared" ref="E17:AI17" si="2">SUM(E12:E16)</f>
        <v>2551598</v>
      </c>
      <c r="F17" s="16">
        <f t="shared" si="2"/>
        <v>2725145</v>
      </c>
      <c r="G17" s="16">
        <f t="shared" si="2"/>
        <v>2626361</v>
      </c>
      <c r="H17" s="16">
        <f t="shared" si="2"/>
        <v>1827983</v>
      </c>
      <c r="I17" s="16">
        <f t="shared" si="2"/>
        <v>3093003</v>
      </c>
      <c r="J17" s="16">
        <f t="shared" si="2"/>
        <v>0</v>
      </c>
      <c r="K17" s="16">
        <f t="shared" si="2"/>
        <v>0</v>
      </c>
      <c r="L17" s="16">
        <f t="shared" si="2"/>
        <v>0</v>
      </c>
      <c r="M17" s="16">
        <f t="shared" si="2"/>
        <v>0</v>
      </c>
      <c r="N17" s="16">
        <f t="shared" si="2"/>
        <v>0</v>
      </c>
      <c r="O17" s="16">
        <f t="shared" si="2"/>
        <v>0</v>
      </c>
      <c r="P17" s="16">
        <f t="shared" si="2"/>
        <v>0</v>
      </c>
      <c r="Q17" s="16">
        <f t="shared" si="2"/>
        <v>0</v>
      </c>
      <c r="R17" s="16">
        <f t="shared" si="2"/>
        <v>0</v>
      </c>
      <c r="S17" s="16">
        <f t="shared" si="2"/>
        <v>7108493</v>
      </c>
      <c r="T17" s="16">
        <f t="shared" si="2"/>
        <v>6644347</v>
      </c>
      <c r="U17" s="16">
        <f t="shared" si="2"/>
        <v>6600277</v>
      </c>
      <c r="V17" s="16">
        <f t="shared" si="2"/>
        <v>0</v>
      </c>
      <c r="W17" s="16">
        <f t="shared" si="2"/>
        <v>0</v>
      </c>
      <c r="X17" s="16">
        <f t="shared" si="2"/>
        <v>0</v>
      </c>
      <c r="Y17" s="16">
        <f t="shared" si="2"/>
        <v>0</v>
      </c>
      <c r="Z17" s="16">
        <f t="shared" si="2"/>
        <v>0</v>
      </c>
      <c r="AA17" s="16">
        <f t="shared" si="2"/>
        <v>0</v>
      </c>
      <c r="AB17" s="16">
        <f t="shared" si="2"/>
        <v>0</v>
      </c>
      <c r="AC17" s="16">
        <f t="shared" si="2"/>
        <v>0</v>
      </c>
      <c r="AD17" s="16">
        <f t="shared" si="2"/>
        <v>0</v>
      </c>
      <c r="AE17" s="16">
        <f t="shared" si="2"/>
        <v>0</v>
      </c>
      <c r="AF17" s="16">
        <f t="shared" si="2"/>
        <v>4103061</v>
      </c>
      <c r="AG17" s="16">
        <f t="shared" si="2"/>
        <v>4700667</v>
      </c>
      <c r="AH17" s="16">
        <f t="shared" si="2"/>
        <v>0</v>
      </c>
      <c r="AI17" s="16">
        <f t="shared" si="2"/>
        <v>0</v>
      </c>
    </row>
    <row r="18" spans="1:35" x14ac:dyDescent="0.3">
      <c r="A18" s="1" t="str">
        <f t="shared" si="0"/>
        <v>PA2408010</v>
      </c>
      <c r="B18" s="21" t="s">
        <v>38</v>
      </c>
      <c r="C18" s="1" t="s">
        <v>374</v>
      </c>
      <c r="D18" s="34" t="s">
        <v>375</v>
      </c>
      <c r="E18" s="13">
        <v>17625571</v>
      </c>
      <c r="F18" s="13">
        <v>18005457</v>
      </c>
      <c r="G18" s="13">
        <v>18777475</v>
      </c>
      <c r="H18" s="13">
        <v>20998689</v>
      </c>
      <c r="I18" s="13">
        <v>23175904</v>
      </c>
      <c r="J18" s="13"/>
      <c r="K18" s="13"/>
      <c r="L18" s="13"/>
      <c r="M18" s="13"/>
      <c r="N18" s="13"/>
      <c r="O18" s="13"/>
      <c r="P18" s="13"/>
      <c r="Q18" s="13"/>
      <c r="R18" s="13"/>
      <c r="S18" s="13">
        <v>78531733</v>
      </c>
      <c r="T18" s="13">
        <v>79287396</v>
      </c>
      <c r="U18" s="13">
        <v>81414257</v>
      </c>
      <c r="V18" s="13"/>
      <c r="W18" s="13"/>
      <c r="X18" s="13"/>
      <c r="Y18" s="13"/>
      <c r="Z18" s="13"/>
      <c r="AA18" s="13"/>
      <c r="AB18" s="13"/>
      <c r="AC18" s="13"/>
      <c r="AD18" s="13"/>
      <c r="AE18" s="13"/>
      <c r="AF18" s="13">
        <v>67574227</v>
      </c>
      <c r="AG18" s="13">
        <v>81663131</v>
      </c>
      <c r="AH18" s="13"/>
      <c r="AI18" s="13"/>
    </row>
    <row r="19" spans="1:35" x14ac:dyDescent="0.3">
      <c r="A19" s="1" t="str">
        <f t="shared" si="0"/>
        <v>PA2408010</v>
      </c>
      <c r="B19" s="21" t="s">
        <v>38</v>
      </c>
      <c r="C19" s="1" t="s">
        <v>374</v>
      </c>
      <c r="D19" s="1" t="s">
        <v>376</v>
      </c>
      <c r="E19" s="13"/>
      <c r="F19" s="13"/>
      <c r="G19" s="13"/>
      <c r="H19" s="13"/>
      <c r="I19" s="13"/>
      <c r="J19" s="13"/>
      <c r="K19" s="13"/>
      <c r="L19" s="13"/>
      <c r="M19" s="13"/>
      <c r="N19" s="13"/>
      <c r="O19" s="13"/>
      <c r="P19" s="13"/>
      <c r="Q19" s="13"/>
      <c r="R19" s="13"/>
      <c r="S19" s="13">
        <v>445862</v>
      </c>
      <c r="T19" s="13">
        <v>1221580</v>
      </c>
      <c r="U19" s="13">
        <v>264511</v>
      </c>
      <c r="V19" s="13"/>
      <c r="W19" s="13"/>
      <c r="X19" s="13"/>
      <c r="Y19" s="13"/>
      <c r="Z19" s="13"/>
      <c r="AA19" s="13"/>
      <c r="AB19" s="13"/>
      <c r="AC19" s="13"/>
      <c r="AD19" s="13"/>
      <c r="AE19" s="13"/>
      <c r="AF19" s="13">
        <v>17624741</v>
      </c>
      <c r="AG19" s="13">
        <v>2672099</v>
      </c>
      <c r="AH19" s="13"/>
      <c r="AI19" s="13"/>
    </row>
    <row r="20" spans="1:35" s="39" customFormat="1" x14ac:dyDescent="0.3">
      <c r="A20" s="34" t="str">
        <f t="shared" si="0"/>
        <v>PA2408010</v>
      </c>
      <c r="B20" s="21" t="s">
        <v>38</v>
      </c>
      <c r="C20" s="34" t="s">
        <v>374</v>
      </c>
      <c r="D20" s="34" t="s">
        <v>377</v>
      </c>
      <c r="E20" s="37"/>
      <c r="F20" s="37"/>
      <c r="G20" s="37"/>
      <c r="H20" s="37"/>
      <c r="I20" s="37"/>
      <c r="J20" s="37"/>
      <c r="K20" s="37"/>
      <c r="L20" s="37"/>
      <c r="M20" s="37"/>
      <c r="N20" s="37"/>
      <c r="O20" s="37"/>
      <c r="P20" s="37"/>
      <c r="Q20" s="37"/>
      <c r="R20" s="37"/>
      <c r="S20" s="37">
        <v>-17632594</v>
      </c>
      <c r="T20" s="37">
        <v>-19158336</v>
      </c>
      <c r="U20" s="37">
        <v>-20709261</v>
      </c>
      <c r="V20" s="37"/>
      <c r="W20" s="37"/>
      <c r="X20" s="37"/>
      <c r="Y20" s="37"/>
      <c r="Z20" s="37"/>
      <c r="AA20" s="37"/>
      <c r="AB20" s="37"/>
      <c r="AC20" s="37"/>
      <c r="AD20" s="37"/>
      <c r="AE20" s="37"/>
      <c r="AF20" s="37"/>
      <c r="AG20" s="37"/>
      <c r="AH20" s="37"/>
      <c r="AI20" s="37"/>
    </row>
    <row r="21" spans="1:35" s="39" customFormat="1" x14ac:dyDescent="0.3">
      <c r="A21" s="34" t="str">
        <f t="shared" si="0"/>
        <v>PA2408010</v>
      </c>
      <c r="B21" s="21" t="s">
        <v>38</v>
      </c>
      <c r="C21" s="34" t="s">
        <v>374</v>
      </c>
      <c r="D21" s="34" t="s">
        <v>378</v>
      </c>
      <c r="E21" s="46"/>
      <c r="F21" s="46"/>
      <c r="G21" s="46"/>
      <c r="H21" s="46"/>
      <c r="I21" s="46"/>
      <c r="J21" s="46"/>
      <c r="K21" s="46"/>
      <c r="L21" s="46"/>
      <c r="M21" s="46"/>
      <c r="N21" s="46"/>
      <c r="O21" s="46"/>
      <c r="P21" s="46"/>
      <c r="Q21" s="46"/>
      <c r="R21" s="46"/>
      <c r="S21" s="46"/>
      <c r="T21" s="46"/>
      <c r="U21" s="46"/>
      <c r="V21" s="46"/>
      <c r="W21" s="46"/>
      <c r="X21" s="46"/>
      <c r="Y21" s="46"/>
      <c r="Z21" s="46"/>
      <c r="AA21" s="46"/>
      <c r="AB21" s="46"/>
      <c r="AC21" s="46"/>
      <c r="AD21" s="46"/>
      <c r="AE21" s="46"/>
      <c r="AF21" s="46">
        <v>1012572</v>
      </c>
      <c r="AG21" s="46">
        <v>1012572</v>
      </c>
      <c r="AH21" s="46"/>
      <c r="AI21" s="46"/>
    </row>
    <row r="22" spans="1:35" s="38" customFormat="1" x14ac:dyDescent="0.3">
      <c r="A22" s="7" t="str">
        <f t="shared" si="0"/>
        <v>PA2408010</v>
      </c>
      <c r="B22" s="25" t="s">
        <v>38</v>
      </c>
      <c r="C22" s="7" t="s">
        <v>374</v>
      </c>
      <c r="D22" s="7"/>
      <c r="E22" s="16">
        <f>SUM(E18:E21)</f>
        <v>17625571</v>
      </c>
      <c r="F22" s="16">
        <f t="shared" ref="F22:AI22" si="3">SUM(F18:F21)</f>
        <v>18005457</v>
      </c>
      <c r="G22" s="16">
        <f t="shared" si="3"/>
        <v>18777475</v>
      </c>
      <c r="H22" s="16">
        <f t="shared" si="3"/>
        <v>20998689</v>
      </c>
      <c r="I22" s="16">
        <f t="shared" si="3"/>
        <v>23175904</v>
      </c>
      <c r="J22" s="16">
        <f t="shared" si="3"/>
        <v>0</v>
      </c>
      <c r="K22" s="16">
        <f t="shared" si="3"/>
        <v>0</v>
      </c>
      <c r="L22" s="16">
        <f t="shared" si="3"/>
        <v>0</v>
      </c>
      <c r="M22" s="16">
        <f t="shared" si="3"/>
        <v>0</v>
      </c>
      <c r="N22" s="16">
        <f t="shared" si="3"/>
        <v>0</v>
      </c>
      <c r="O22" s="16">
        <f t="shared" si="3"/>
        <v>0</v>
      </c>
      <c r="P22" s="16">
        <f t="shared" si="3"/>
        <v>0</v>
      </c>
      <c r="Q22" s="16">
        <f t="shared" si="3"/>
        <v>0</v>
      </c>
      <c r="R22" s="16">
        <f t="shared" si="3"/>
        <v>0</v>
      </c>
      <c r="S22" s="16">
        <f t="shared" si="3"/>
        <v>61345001</v>
      </c>
      <c r="T22" s="16">
        <f t="shared" si="3"/>
        <v>61350640</v>
      </c>
      <c r="U22" s="16">
        <f t="shared" si="3"/>
        <v>60969507</v>
      </c>
      <c r="V22" s="16">
        <f t="shared" si="3"/>
        <v>0</v>
      </c>
      <c r="W22" s="16">
        <f t="shared" si="3"/>
        <v>0</v>
      </c>
      <c r="X22" s="16">
        <f t="shared" si="3"/>
        <v>0</v>
      </c>
      <c r="Y22" s="16">
        <f t="shared" si="3"/>
        <v>0</v>
      </c>
      <c r="Z22" s="16">
        <f t="shared" si="3"/>
        <v>0</v>
      </c>
      <c r="AA22" s="16">
        <f t="shared" si="3"/>
        <v>0</v>
      </c>
      <c r="AB22" s="16">
        <f t="shared" si="3"/>
        <v>0</v>
      </c>
      <c r="AC22" s="16">
        <f t="shared" si="3"/>
        <v>0</v>
      </c>
      <c r="AD22" s="16">
        <f t="shared" si="3"/>
        <v>0</v>
      </c>
      <c r="AE22" s="16">
        <f t="shared" si="3"/>
        <v>0</v>
      </c>
      <c r="AF22" s="16">
        <f t="shared" si="3"/>
        <v>86211540</v>
      </c>
      <c r="AG22" s="16">
        <f t="shared" si="3"/>
        <v>85347802</v>
      </c>
      <c r="AH22" s="16">
        <f t="shared" si="3"/>
        <v>0</v>
      </c>
      <c r="AI22" s="16">
        <f t="shared" si="3"/>
        <v>0</v>
      </c>
    </row>
    <row r="23" spans="1:35" x14ac:dyDescent="0.3">
      <c r="A23" s="1" t="str">
        <f t="shared" si="0"/>
        <v>PA2408010</v>
      </c>
      <c r="B23" s="21" t="s">
        <v>38</v>
      </c>
      <c r="C23" s="1" t="s">
        <v>379</v>
      </c>
      <c r="D23" s="1" t="s">
        <v>380</v>
      </c>
      <c r="E23" s="13"/>
      <c r="F23" s="13"/>
      <c r="G23" s="13"/>
      <c r="H23" s="13"/>
      <c r="I23" s="13"/>
      <c r="J23" s="13"/>
      <c r="K23" s="13"/>
      <c r="L23" s="13"/>
      <c r="M23" s="13"/>
      <c r="N23" s="13"/>
      <c r="O23" s="13"/>
      <c r="P23" s="13"/>
      <c r="Q23" s="13"/>
      <c r="R23" s="13"/>
      <c r="S23" s="13">
        <v>173333</v>
      </c>
      <c r="T23" s="13">
        <v>153333</v>
      </c>
      <c r="U23" s="13">
        <v>133333</v>
      </c>
      <c r="V23" s="13"/>
      <c r="W23" s="13"/>
      <c r="X23" s="13"/>
      <c r="Y23" s="13"/>
      <c r="Z23" s="13"/>
      <c r="AA23" s="13"/>
      <c r="AB23" s="13"/>
      <c r="AC23" s="13"/>
      <c r="AD23" s="13"/>
      <c r="AE23" s="13"/>
      <c r="AF23" s="13"/>
      <c r="AG23" s="13"/>
      <c r="AH23" s="13"/>
      <c r="AI23" s="13"/>
    </row>
    <row r="24" spans="1:35" x14ac:dyDescent="0.3">
      <c r="A24" s="1" t="str">
        <f t="shared" si="0"/>
        <v>PA2408010</v>
      </c>
      <c r="B24" s="21" t="s">
        <v>38</v>
      </c>
      <c r="C24" s="1" t="s">
        <v>379</v>
      </c>
      <c r="D24" s="1" t="s">
        <v>381</v>
      </c>
      <c r="E24" s="13"/>
      <c r="F24" s="13"/>
      <c r="G24" s="13"/>
      <c r="H24" s="13"/>
      <c r="I24" s="13"/>
      <c r="J24" s="13"/>
      <c r="K24" s="13"/>
      <c r="L24" s="13"/>
      <c r="M24" s="13"/>
      <c r="N24" s="13"/>
      <c r="O24" s="13"/>
      <c r="P24" s="13"/>
      <c r="Q24" s="13"/>
      <c r="R24" s="13"/>
      <c r="S24" s="13">
        <v>299549</v>
      </c>
      <c r="T24" s="13">
        <v>279577</v>
      </c>
      <c r="U24" s="13">
        <v>259605</v>
      </c>
      <c r="V24" s="13"/>
      <c r="W24" s="13"/>
      <c r="X24" s="13"/>
      <c r="Y24" s="13"/>
      <c r="Z24" s="13"/>
      <c r="AA24" s="13"/>
      <c r="AB24" s="13"/>
      <c r="AC24" s="13"/>
      <c r="AD24" s="13"/>
      <c r="AE24" s="13"/>
      <c r="AF24" s="13"/>
      <c r="AG24" s="13"/>
      <c r="AH24" s="13"/>
      <c r="AI24" s="13"/>
    </row>
    <row r="25" spans="1:35" x14ac:dyDescent="0.3">
      <c r="A25" s="1" t="str">
        <f t="shared" si="0"/>
        <v>PA2408010</v>
      </c>
      <c r="B25" s="21" t="s">
        <v>38</v>
      </c>
      <c r="C25" s="1" t="s">
        <v>379</v>
      </c>
      <c r="E25" s="13"/>
      <c r="F25" s="13"/>
      <c r="G25" s="13"/>
      <c r="H25" s="13"/>
      <c r="I25" s="13"/>
      <c r="J25" s="13"/>
      <c r="K25" s="13"/>
      <c r="L25" s="13"/>
      <c r="M25" s="13"/>
      <c r="N25" s="13"/>
      <c r="O25" s="13"/>
      <c r="P25" s="13"/>
      <c r="Q25" s="13"/>
      <c r="R25" s="13"/>
      <c r="S25" s="13"/>
      <c r="T25" s="13"/>
      <c r="U25" s="13"/>
      <c r="V25" s="13"/>
      <c r="W25" s="13"/>
      <c r="X25" s="13"/>
      <c r="Y25" s="13"/>
      <c r="Z25" s="13"/>
      <c r="AA25" s="13"/>
      <c r="AB25" s="13"/>
      <c r="AC25" s="13"/>
      <c r="AD25" s="13"/>
      <c r="AE25" s="13"/>
      <c r="AF25" s="13"/>
      <c r="AG25" s="13"/>
      <c r="AH25" s="13"/>
      <c r="AI25" s="13"/>
    </row>
    <row r="26" spans="1:35" x14ac:dyDescent="0.3">
      <c r="A26" s="1" t="str">
        <f t="shared" si="0"/>
        <v>PA2408010</v>
      </c>
      <c r="B26" s="21" t="s">
        <v>38</v>
      </c>
      <c r="C26" s="7" t="s">
        <v>379</v>
      </c>
      <c r="E26" s="13"/>
      <c r="F26" s="13"/>
      <c r="G26" s="13"/>
      <c r="H26" s="13"/>
      <c r="I26" s="13"/>
      <c r="J26" s="13"/>
      <c r="K26" s="13"/>
      <c r="L26" s="13"/>
      <c r="M26" s="13"/>
      <c r="N26" s="13"/>
      <c r="O26" s="13"/>
      <c r="P26" s="13"/>
      <c r="Q26" s="13"/>
      <c r="R26" s="13"/>
      <c r="S26" s="13">
        <f>SUM(S23:S25)</f>
        <v>472882</v>
      </c>
      <c r="T26" s="13">
        <f t="shared" ref="T26:V26" si="4">SUM(T23:T25)</f>
        <v>432910</v>
      </c>
      <c r="U26" s="13">
        <f t="shared" si="4"/>
        <v>392938</v>
      </c>
      <c r="V26" s="13">
        <f t="shared" si="4"/>
        <v>0</v>
      </c>
      <c r="W26" s="13"/>
      <c r="X26" s="13"/>
      <c r="Y26" s="13"/>
      <c r="Z26" s="13"/>
      <c r="AA26" s="13"/>
      <c r="AB26" s="13"/>
      <c r="AC26" s="13"/>
      <c r="AD26" s="13"/>
      <c r="AE26" s="13"/>
      <c r="AF26" s="13"/>
      <c r="AG26" s="13"/>
      <c r="AH26" s="13"/>
      <c r="AI26" s="13"/>
    </row>
    <row r="27" spans="1:35" x14ac:dyDescent="0.3">
      <c r="A27" s="1" t="str">
        <f t="shared" si="0"/>
        <v>PA2408010</v>
      </c>
      <c r="B27" s="21" t="s">
        <v>38</v>
      </c>
      <c r="C27" s="1" t="s">
        <v>379</v>
      </c>
      <c r="D27" s="7"/>
      <c r="E27" s="15"/>
      <c r="F27" s="15"/>
      <c r="G27" s="15"/>
      <c r="H27" s="15"/>
      <c r="I27" s="15"/>
      <c r="J27" s="15"/>
      <c r="K27" s="15"/>
      <c r="L27" s="15"/>
      <c r="M27" s="15"/>
      <c r="N27" s="15"/>
      <c r="O27" s="15"/>
      <c r="P27" s="15"/>
      <c r="Q27" s="15"/>
      <c r="R27" s="15"/>
      <c r="S27" s="15"/>
      <c r="T27" s="15"/>
      <c r="U27" s="15"/>
      <c r="V27" s="15"/>
      <c r="W27" s="15"/>
      <c r="X27" s="15"/>
      <c r="Y27" s="15"/>
      <c r="Z27" s="15"/>
      <c r="AA27" s="15"/>
      <c r="AB27" s="15"/>
      <c r="AC27" s="15"/>
      <c r="AD27" s="15"/>
      <c r="AE27" s="15"/>
      <c r="AF27" s="15"/>
      <c r="AG27" s="15"/>
      <c r="AH27" s="15"/>
      <c r="AI27" s="15"/>
    </row>
    <row r="28" spans="1:35" x14ac:dyDescent="0.3">
      <c r="A28" s="1" t="str">
        <f t="shared" si="0"/>
        <v>PA2408010</v>
      </c>
      <c r="B28" s="21" t="s">
        <v>38</v>
      </c>
      <c r="C28" s="7" t="s">
        <v>382</v>
      </c>
      <c r="D28" s="7"/>
      <c r="E28" s="15">
        <f t="shared" ref="E28:AI28" si="5">E26+E22+E17+E11</f>
        <v>21056295</v>
      </c>
      <c r="F28" s="15">
        <f t="shared" si="5"/>
        <v>21842278</v>
      </c>
      <c r="G28" s="15">
        <f t="shared" si="5"/>
        <v>22616733</v>
      </c>
      <c r="H28" s="15">
        <f t="shared" si="5"/>
        <v>23967914</v>
      </c>
      <c r="I28" s="15">
        <f t="shared" si="5"/>
        <v>27607712</v>
      </c>
      <c r="J28" s="15">
        <f t="shared" si="5"/>
        <v>0</v>
      </c>
      <c r="K28" s="15">
        <f t="shared" si="5"/>
        <v>0</v>
      </c>
      <c r="L28" s="15">
        <f t="shared" si="5"/>
        <v>0</v>
      </c>
      <c r="M28" s="15">
        <f t="shared" si="5"/>
        <v>0</v>
      </c>
      <c r="N28" s="15">
        <f t="shared" si="5"/>
        <v>0</v>
      </c>
      <c r="O28" s="15">
        <f t="shared" si="5"/>
        <v>0</v>
      </c>
      <c r="P28" s="15">
        <f t="shared" si="5"/>
        <v>0</v>
      </c>
      <c r="Q28" s="15">
        <f t="shared" si="5"/>
        <v>0</v>
      </c>
      <c r="R28" s="15">
        <f t="shared" si="5"/>
        <v>0</v>
      </c>
      <c r="S28" s="15">
        <f t="shared" si="5"/>
        <v>70404252</v>
      </c>
      <c r="T28" s="15">
        <f t="shared" si="5"/>
        <v>69993174</v>
      </c>
      <c r="U28" s="15">
        <f t="shared" si="5"/>
        <v>69524890</v>
      </c>
      <c r="V28" s="15">
        <f t="shared" si="5"/>
        <v>0</v>
      </c>
      <c r="W28" s="15">
        <f t="shared" si="5"/>
        <v>0</v>
      </c>
      <c r="X28" s="15">
        <f t="shared" si="5"/>
        <v>0</v>
      </c>
      <c r="Y28" s="15">
        <f t="shared" si="5"/>
        <v>0</v>
      </c>
      <c r="Z28" s="15">
        <f t="shared" si="5"/>
        <v>0</v>
      </c>
      <c r="AA28" s="15">
        <f t="shared" si="5"/>
        <v>0</v>
      </c>
      <c r="AB28" s="15">
        <f t="shared" si="5"/>
        <v>0</v>
      </c>
      <c r="AC28" s="15">
        <f t="shared" si="5"/>
        <v>0</v>
      </c>
      <c r="AD28" s="15">
        <f t="shared" si="5"/>
        <v>0</v>
      </c>
      <c r="AE28" s="15">
        <f t="shared" si="5"/>
        <v>0</v>
      </c>
      <c r="AF28" s="15">
        <f t="shared" si="5"/>
        <v>92372413</v>
      </c>
      <c r="AG28" s="15">
        <f t="shared" si="5"/>
        <v>91836909</v>
      </c>
      <c r="AH28" s="15">
        <f t="shared" si="5"/>
        <v>0</v>
      </c>
      <c r="AI28" s="15">
        <f t="shared" si="5"/>
        <v>0</v>
      </c>
    </row>
    <row r="29" spans="1:35" s="43" customFormat="1" x14ac:dyDescent="0.3">
      <c r="A29" s="13" t="str">
        <f t="shared" si="0"/>
        <v>PA2408010</v>
      </c>
      <c r="B29" s="42" t="s">
        <v>38</v>
      </c>
      <c r="C29" s="13" t="s">
        <v>383</v>
      </c>
      <c r="D29" s="67" t="s">
        <v>384</v>
      </c>
      <c r="E29" s="43">
        <v>602105</v>
      </c>
      <c r="F29" s="37">
        <v>616724</v>
      </c>
      <c r="G29" s="37">
        <v>627859</v>
      </c>
      <c r="H29" s="37">
        <v>632700</v>
      </c>
      <c r="I29" s="43">
        <v>640349</v>
      </c>
      <c r="J29" s="37"/>
      <c r="K29" s="37"/>
      <c r="L29" s="37"/>
      <c r="M29" s="37"/>
      <c r="N29" s="37"/>
      <c r="O29" s="37"/>
      <c r="P29" s="37"/>
      <c r="Q29" s="37"/>
      <c r="R29" s="37"/>
      <c r="S29" s="37">
        <v>290067</v>
      </c>
      <c r="T29" s="37">
        <v>268335</v>
      </c>
      <c r="U29" s="37">
        <v>291967</v>
      </c>
      <c r="V29" s="37"/>
      <c r="W29" s="37"/>
      <c r="X29" s="37"/>
      <c r="Y29" s="37"/>
      <c r="Z29" s="37">
        <v>199789</v>
      </c>
      <c r="AA29" s="37">
        <v>182909</v>
      </c>
      <c r="AB29" s="37"/>
      <c r="AC29" s="37"/>
      <c r="AD29" s="37"/>
      <c r="AE29" s="37"/>
      <c r="AF29" s="37"/>
      <c r="AG29" s="37"/>
      <c r="AH29" s="37"/>
      <c r="AI29" s="37"/>
    </row>
    <row r="30" spans="1:35" s="43" customFormat="1" x14ac:dyDescent="0.3">
      <c r="A30" s="13" t="str">
        <f t="shared" si="0"/>
        <v>PA2408010</v>
      </c>
      <c r="B30" s="42" t="s">
        <v>38</v>
      </c>
      <c r="C30" s="13" t="s">
        <v>383</v>
      </c>
      <c r="D30" s="13" t="s">
        <v>385</v>
      </c>
      <c r="E30" s="37">
        <v>0</v>
      </c>
      <c r="F30" s="37">
        <v>0</v>
      </c>
      <c r="G30" s="37">
        <v>0</v>
      </c>
      <c r="H30" s="37">
        <v>0</v>
      </c>
      <c r="I30" s="37">
        <v>33803</v>
      </c>
      <c r="J30" s="37"/>
      <c r="K30" s="37"/>
      <c r="L30" s="37"/>
      <c r="M30" s="37"/>
      <c r="N30" s="37"/>
      <c r="O30" s="37"/>
      <c r="P30" s="37"/>
      <c r="Q30" s="37"/>
      <c r="R30" s="37"/>
      <c r="S30" s="37">
        <v>2345545</v>
      </c>
      <c r="T30" s="37">
        <v>2409737</v>
      </c>
      <c r="U30" s="37">
        <v>2607600</v>
      </c>
      <c r="V30" s="37"/>
      <c r="W30" s="37"/>
      <c r="X30" s="37"/>
      <c r="Y30" s="37"/>
      <c r="Z30" s="37">
        <v>2816498</v>
      </c>
      <c r="AA30" s="37">
        <v>2863917</v>
      </c>
      <c r="AB30" s="37"/>
      <c r="AC30" s="37"/>
      <c r="AD30" s="37"/>
      <c r="AE30" s="37"/>
      <c r="AF30" s="37">
        <v>4169949</v>
      </c>
      <c r="AG30" s="37">
        <v>3250840</v>
      </c>
      <c r="AH30" s="37"/>
      <c r="AI30" s="37"/>
    </row>
    <row r="31" spans="1:35" s="43" customFormat="1" x14ac:dyDescent="0.3">
      <c r="A31" s="13" t="str">
        <f t="shared" si="0"/>
        <v>PA2408010</v>
      </c>
      <c r="B31" s="42" t="s">
        <v>38</v>
      </c>
      <c r="C31" s="13" t="s">
        <v>383</v>
      </c>
      <c r="D31" s="13" t="s">
        <v>386</v>
      </c>
      <c r="E31" s="37">
        <v>12994</v>
      </c>
      <c r="F31" s="37">
        <v>0</v>
      </c>
      <c r="G31" s="37">
        <v>0</v>
      </c>
      <c r="H31" s="37">
        <v>0</v>
      </c>
      <c r="I31" s="37">
        <v>0</v>
      </c>
      <c r="J31" s="37"/>
      <c r="K31" s="37"/>
      <c r="L31" s="37"/>
      <c r="M31" s="37"/>
      <c r="N31" s="37"/>
      <c r="O31" s="37"/>
      <c r="P31" s="37"/>
      <c r="Q31" s="37"/>
      <c r="R31" s="37"/>
      <c r="S31" s="37"/>
      <c r="T31" s="37"/>
      <c r="U31" s="37"/>
      <c r="V31" s="37"/>
      <c r="W31" s="37"/>
      <c r="X31" s="37"/>
      <c r="Y31" s="37"/>
      <c r="Z31" s="37"/>
      <c r="AA31" s="37"/>
      <c r="AB31" s="37"/>
      <c r="AC31" s="37"/>
      <c r="AD31" s="37"/>
      <c r="AE31" s="37"/>
      <c r="AF31" s="37"/>
      <c r="AG31" s="37"/>
      <c r="AH31" s="37"/>
      <c r="AI31" s="37"/>
    </row>
    <row r="32" spans="1:35" s="43" customFormat="1" x14ac:dyDescent="0.3">
      <c r="A32" s="13" t="str">
        <f t="shared" si="0"/>
        <v>PA2408010</v>
      </c>
      <c r="B32" s="42" t="s">
        <v>38</v>
      </c>
      <c r="C32" s="13" t="s">
        <v>383</v>
      </c>
      <c r="D32" s="13" t="s">
        <v>387</v>
      </c>
      <c r="E32" s="37">
        <v>0</v>
      </c>
      <c r="F32" s="37">
        <v>0</v>
      </c>
      <c r="G32" s="37">
        <v>0</v>
      </c>
      <c r="H32" s="37">
        <v>0</v>
      </c>
      <c r="I32" s="37">
        <v>512433</v>
      </c>
      <c r="J32" s="37"/>
      <c r="K32" s="37"/>
      <c r="L32" s="37"/>
      <c r="M32" s="37"/>
      <c r="N32" s="37"/>
      <c r="O32" s="37"/>
      <c r="P32" s="37"/>
      <c r="Q32" s="37"/>
      <c r="R32" s="37"/>
      <c r="S32" s="37"/>
      <c r="T32" s="37"/>
      <c r="U32" s="37"/>
      <c r="V32" s="37"/>
      <c r="W32" s="37"/>
      <c r="X32" s="37"/>
      <c r="Y32" s="37"/>
      <c r="Z32" s="37"/>
      <c r="AA32" s="37"/>
      <c r="AB32" s="37"/>
      <c r="AC32" s="37"/>
      <c r="AD32" s="37"/>
      <c r="AE32" s="37"/>
      <c r="AF32" s="37"/>
      <c r="AG32" s="37"/>
      <c r="AH32" s="37"/>
      <c r="AI32" s="37"/>
    </row>
    <row r="33" spans="1:35" s="43" customFormat="1" x14ac:dyDescent="0.3">
      <c r="A33" s="13" t="str">
        <f t="shared" si="0"/>
        <v>PA2408010</v>
      </c>
      <c r="B33" s="42" t="s">
        <v>38</v>
      </c>
      <c r="C33" s="13" t="s">
        <v>383</v>
      </c>
      <c r="D33" s="13" t="s">
        <v>388</v>
      </c>
      <c r="E33" s="13">
        <v>147917</v>
      </c>
      <c r="F33" s="13">
        <v>266760</v>
      </c>
      <c r="G33" s="13">
        <v>79756</v>
      </c>
      <c r="H33" s="13">
        <v>100160</v>
      </c>
      <c r="I33" s="13">
        <v>648266</v>
      </c>
      <c r="J33" s="13"/>
      <c r="K33" s="13"/>
      <c r="L33" s="13"/>
      <c r="M33" s="13"/>
      <c r="N33" s="13"/>
      <c r="O33" s="13"/>
      <c r="P33" s="13"/>
      <c r="Q33" s="13"/>
      <c r="R33" s="13"/>
      <c r="S33" s="13">
        <v>0</v>
      </c>
      <c r="T33" s="13">
        <v>539</v>
      </c>
      <c r="U33" s="13">
        <v>33738</v>
      </c>
      <c r="V33" s="13"/>
      <c r="W33" s="13"/>
      <c r="X33" s="13"/>
      <c r="Y33" s="13"/>
      <c r="Z33" s="13"/>
      <c r="AA33" s="13"/>
      <c r="AB33" s="13"/>
      <c r="AC33" s="13"/>
      <c r="AD33" s="13"/>
      <c r="AE33" s="13"/>
      <c r="AF33" s="13"/>
      <c r="AG33" s="13"/>
      <c r="AH33" s="13"/>
      <c r="AI33" s="13"/>
    </row>
    <row r="34" spans="1:35" s="43" customFormat="1" x14ac:dyDescent="0.3">
      <c r="A34" s="13" t="str">
        <f t="shared" si="0"/>
        <v>PA2408010</v>
      </c>
      <c r="B34" s="42" t="s">
        <v>38</v>
      </c>
      <c r="C34" s="13" t="s">
        <v>383</v>
      </c>
      <c r="D34" s="13" t="s">
        <v>389</v>
      </c>
      <c r="E34" s="13">
        <v>16193</v>
      </c>
      <c r="F34" s="13">
        <v>0</v>
      </c>
      <c r="G34" s="13">
        <v>0</v>
      </c>
      <c r="H34" s="13">
        <v>0</v>
      </c>
      <c r="I34" s="13">
        <v>40469</v>
      </c>
      <c r="J34" s="13"/>
      <c r="K34" s="13"/>
      <c r="L34" s="13"/>
      <c r="M34" s="13"/>
      <c r="N34" s="13"/>
      <c r="O34" s="13"/>
      <c r="P34" s="13"/>
      <c r="Q34" s="13"/>
      <c r="R34" s="13"/>
      <c r="S34" s="13"/>
      <c r="T34" s="13"/>
      <c r="U34" s="13"/>
      <c r="V34" s="13"/>
      <c r="W34" s="13"/>
      <c r="X34" s="13"/>
      <c r="Y34" s="13"/>
      <c r="Z34" s="13"/>
      <c r="AA34" s="13"/>
      <c r="AB34" s="13"/>
      <c r="AC34" s="13"/>
      <c r="AD34" s="13"/>
      <c r="AE34" s="13"/>
      <c r="AF34" s="13"/>
      <c r="AG34" s="13"/>
      <c r="AH34" s="13"/>
      <c r="AI34" s="13"/>
    </row>
    <row r="35" spans="1:35" s="43" customFormat="1" x14ac:dyDescent="0.3">
      <c r="A35" s="13" t="str">
        <f t="shared" si="0"/>
        <v>PA2408010</v>
      </c>
      <c r="B35" s="42" t="s">
        <v>38</v>
      </c>
      <c r="C35" s="13" t="s">
        <v>383</v>
      </c>
      <c r="D35" s="13" t="s">
        <v>390</v>
      </c>
      <c r="E35" s="13">
        <v>2541</v>
      </c>
      <c r="F35" s="13">
        <v>0</v>
      </c>
      <c r="G35" s="13">
        <v>2445</v>
      </c>
      <c r="H35" s="13">
        <v>2559</v>
      </c>
      <c r="I35" s="13">
        <v>2957</v>
      </c>
      <c r="J35" s="13"/>
      <c r="K35" s="13"/>
      <c r="L35" s="13"/>
      <c r="M35" s="13"/>
      <c r="N35" s="13"/>
      <c r="O35" s="13"/>
      <c r="P35" s="13"/>
      <c r="Q35" s="13"/>
      <c r="R35" s="13"/>
      <c r="S35" s="13"/>
      <c r="T35" s="13"/>
      <c r="U35" s="13"/>
      <c r="V35" s="13"/>
      <c r="W35" s="13"/>
      <c r="X35" s="13"/>
      <c r="Y35" s="13"/>
      <c r="Z35" s="13"/>
      <c r="AA35" s="13"/>
      <c r="AB35" s="13"/>
      <c r="AC35" s="13"/>
      <c r="AD35" s="13"/>
      <c r="AE35" s="13"/>
      <c r="AF35" s="13"/>
      <c r="AG35" s="13"/>
      <c r="AH35" s="13"/>
      <c r="AI35" s="13"/>
    </row>
    <row r="36" spans="1:35" s="43" customFormat="1" x14ac:dyDescent="0.3">
      <c r="A36" s="13" t="str">
        <f t="shared" si="0"/>
        <v>PA2408010</v>
      </c>
      <c r="B36" s="42" t="s">
        <v>38</v>
      </c>
      <c r="C36" s="13" t="s">
        <v>383</v>
      </c>
      <c r="D36" s="13" t="s">
        <v>391</v>
      </c>
      <c r="E36" s="13">
        <v>130730</v>
      </c>
      <c r="F36" s="13">
        <v>126212</v>
      </c>
      <c r="G36" s="13">
        <v>120611</v>
      </c>
      <c r="H36" s="13">
        <v>116533</v>
      </c>
      <c r="I36" s="13">
        <v>150794</v>
      </c>
      <c r="J36" s="13"/>
      <c r="K36" s="13"/>
      <c r="L36" s="13"/>
      <c r="M36" s="13"/>
      <c r="N36" s="13"/>
      <c r="O36" s="13"/>
      <c r="P36" s="13"/>
      <c r="Q36" s="13"/>
      <c r="R36" s="13"/>
      <c r="S36" s="13">
        <v>249929</v>
      </c>
      <c r="T36" s="13">
        <v>263145</v>
      </c>
      <c r="U36" s="13">
        <v>203683</v>
      </c>
      <c r="V36" s="13"/>
      <c r="W36" s="13"/>
      <c r="X36" s="13"/>
      <c r="Y36" s="13"/>
      <c r="Z36" s="13"/>
      <c r="AA36" s="13">
        <v>1217021</v>
      </c>
      <c r="AB36" s="13"/>
      <c r="AC36" s="13"/>
      <c r="AD36" s="13"/>
      <c r="AE36" s="13"/>
      <c r="AF36" s="13">
        <v>1523576</v>
      </c>
      <c r="AG36" s="13">
        <v>1261383</v>
      </c>
      <c r="AH36" s="13"/>
      <c r="AI36" s="13"/>
    </row>
    <row r="37" spans="1:35" s="43" customFormat="1" x14ac:dyDescent="0.3">
      <c r="A37" s="13" t="str">
        <f t="shared" si="0"/>
        <v>PA2408010</v>
      </c>
      <c r="B37" s="42" t="s">
        <v>38</v>
      </c>
      <c r="C37" s="13" t="s">
        <v>383</v>
      </c>
      <c r="D37" s="13" t="s">
        <v>392</v>
      </c>
      <c r="E37" s="13">
        <v>35745</v>
      </c>
      <c r="F37" s="13">
        <v>36000</v>
      </c>
      <c r="G37" s="13">
        <v>28785</v>
      </c>
      <c r="H37" s="13">
        <v>31230</v>
      </c>
      <c r="I37" s="13">
        <v>32800</v>
      </c>
      <c r="J37" s="13"/>
      <c r="K37" s="13"/>
      <c r="L37" s="13"/>
      <c r="M37" s="13"/>
      <c r="N37" s="13"/>
      <c r="O37" s="13"/>
      <c r="P37" s="13"/>
      <c r="Q37" s="13"/>
      <c r="R37" s="13"/>
      <c r="S37" s="13">
        <v>65685</v>
      </c>
      <c r="T37" s="13">
        <v>67935</v>
      </c>
      <c r="U37" s="13">
        <v>68670</v>
      </c>
      <c r="V37" s="13"/>
      <c r="W37" s="13"/>
      <c r="X37" s="13"/>
      <c r="Y37" s="13"/>
      <c r="Z37" s="13">
        <v>63282</v>
      </c>
      <c r="AA37" s="13">
        <v>55320</v>
      </c>
      <c r="AB37" s="13"/>
      <c r="AC37" s="13"/>
      <c r="AD37" s="13"/>
      <c r="AE37" s="13"/>
      <c r="AF37" s="13">
        <v>21807</v>
      </c>
      <c r="AG37" s="13">
        <v>20392</v>
      </c>
      <c r="AH37" s="13"/>
      <c r="AI37" s="13"/>
    </row>
    <row r="38" spans="1:35" s="43" customFormat="1" x14ac:dyDescent="0.3">
      <c r="A38" s="13" t="str">
        <f t="shared" si="0"/>
        <v>PA2408010</v>
      </c>
      <c r="B38" s="42" t="s">
        <v>38</v>
      </c>
      <c r="C38" s="13" t="s">
        <v>383</v>
      </c>
      <c r="D38" s="13" t="s">
        <v>393</v>
      </c>
      <c r="E38" s="13"/>
      <c r="F38" s="13"/>
      <c r="G38" s="13"/>
      <c r="H38" s="13"/>
      <c r="I38" s="13"/>
      <c r="J38" s="13"/>
      <c r="K38" s="13"/>
      <c r="L38" s="13"/>
      <c r="M38" s="13"/>
      <c r="N38" s="13"/>
      <c r="O38" s="13"/>
      <c r="P38" s="13"/>
      <c r="Q38" s="13"/>
      <c r="R38" s="13"/>
      <c r="S38" s="13"/>
      <c r="T38" s="13">
        <v>164258</v>
      </c>
      <c r="U38" s="13"/>
      <c r="V38" s="13"/>
      <c r="W38" s="13"/>
      <c r="X38" s="13"/>
      <c r="Y38" s="13"/>
      <c r="Z38" s="13"/>
      <c r="AA38" s="13"/>
      <c r="AB38" s="13"/>
      <c r="AC38" s="13"/>
      <c r="AD38" s="13"/>
      <c r="AE38" s="13"/>
      <c r="AF38" s="13"/>
      <c r="AG38" s="13"/>
      <c r="AH38" s="13"/>
      <c r="AI38" s="13"/>
    </row>
    <row r="39" spans="1:35" s="43" customFormat="1" x14ac:dyDescent="0.3">
      <c r="A39" s="13" t="str">
        <f t="shared" si="0"/>
        <v>PA2408010</v>
      </c>
      <c r="B39" s="42" t="s">
        <v>38</v>
      </c>
      <c r="C39" s="13" t="s">
        <v>383</v>
      </c>
      <c r="D39" s="13"/>
      <c r="E39" s="13"/>
      <c r="F39" s="13"/>
      <c r="G39" s="13"/>
      <c r="H39" s="13"/>
      <c r="I39" s="13"/>
      <c r="J39" s="13"/>
      <c r="K39" s="13"/>
      <c r="L39" s="13"/>
      <c r="M39" s="13"/>
      <c r="N39" s="13"/>
      <c r="O39" s="13"/>
      <c r="P39" s="13"/>
      <c r="Q39" s="13"/>
      <c r="R39" s="13"/>
      <c r="S39" s="13"/>
      <c r="T39" s="13"/>
      <c r="U39" s="13"/>
      <c r="V39" s="13"/>
      <c r="W39" s="13"/>
      <c r="X39" s="13"/>
      <c r="Y39" s="13"/>
      <c r="Z39" s="13"/>
      <c r="AA39" s="13"/>
      <c r="AB39" s="13"/>
      <c r="AC39" s="13"/>
      <c r="AD39" s="13"/>
      <c r="AE39" s="13"/>
      <c r="AF39" s="13"/>
      <c r="AG39" s="13"/>
      <c r="AH39" s="13"/>
      <c r="AI39" s="13"/>
    </row>
    <row r="40" spans="1:35" s="43" customFormat="1" x14ac:dyDescent="0.3">
      <c r="A40" s="13" t="str">
        <f t="shared" si="0"/>
        <v>PA2408010</v>
      </c>
      <c r="B40" s="42" t="s">
        <v>38</v>
      </c>
      <c r="C40" s="13" t="s">
        <v>383</v>
      </c>
      <c r="D40" s="13"/>
      <c r="E40" s="13"/>
      <c r="F40" s="13"/>
      <c r="G40" s="13"/>
      <c r="H40" s="13"/>
      <c r="I40" s="13"/>
      <c r="J40" s="13"/>
      <c r="K40" s="13"/>
      <c r="L40" s="13"/>
      <c r="M40" s="13"/>
      <c r="N40" s="13"/>
      <c r="O40" s="13"/>
      <c r="P40" s="13"/>
      <c r="Q40" s="13"/>
      <c r="R40" s="13"/>
      <c r="S40" s="13"/>
      <c r="T40" s="13"/>
      <c r="U40" s="13"/>
      <c r="V40" s="13"/>
      <c r="W40" s="13"/>
      <c r="X40" s="13"/>
      <c r="Y40" s="13"/>
      <c r="Z40" s="13"/>
      <c r="AA40" s="13"/>
      <c r="AB40" s="13"/>
      <c r="AC40" s="13"/>
      <c r="AD40" s="13"/>
      <c r="AE40" s="13"/>
      <c r="AF40" s="13"/>
      <c r="AG40" s="13"/>
      <c r="AH40" s="13"/>
      <c r="AI40" s="13"/>
    </row>
    <row r="41" spans="1:35" s="41" customFormat="1" x14ac:dyDescent="0.3">
      <c r="A41" s="16" t="str">
        <f t="shared" si="0"/>
        <v>PA2408010</v>
      </c>
      <c r="B41" s="40" t="s">
        <v>38</v>
      </c>
      <c r="C41" s="16" t="s">
        <v>383</v>
      </c>
      <c r="D41" s="16"/>
      <c r="E41" s="16">
        <f>SUM(E29:E40)</f>
        <v>948225</v>
      </c>
      <c r="F41" s="16">
        <f t="shared" ref="F41:I41" si="6">SUM(F29:F40)</f>
        <v>1045696</v>
      </c>
      <c r="G41" s="16">
        <f t="shared" si="6"/>
        <v>859456</v>
      </c>
      <c r="H41" s="16">
        <f t="shared" si="6"/>
        <v>883182</v>
      </c>
      <c r="I41" s="16">
        <f t="shared" si="6"/>
        <v>2061871</v>
      </c>
      <c r="J41" s="16">
        <f t="shared" ref="J41" si="7">SUM(J29:J40)</f>
        <v>0</v>
      </c>
      <c r="K41" s="16">
        <f t="shared" ref="K41" si="8">SUM(K29:K40)</f>
        <v>0</v>
      </c>
      <c r="L41" s="16">
        <f t="shared" ref="L41" si="9">SUM(L29:L40)</f>
        <v>0</v>
      </c>
      <c r="M41" s="16">
        <f t="shared" ref="M41" si="10">SUM(M29:M40)</f>
        <v>0</v>
      </c>
      <c r="N41" s="16">
        <f t="shared" ref="N41" si="11">SUM(N29:N40)</f>
        <v>0</v>
      </c>
      <c r="O41" s="16">
        <f t="shared" ref="O41" si="12">SUM(O29:O40)</f>
        <v>0</v>
      </c>
      <c r="P41" s="16">
        <f t="shared" ref="P41" si="13">SUM(P29:P40)</f>
        <v>0</v>
      </c>
      <c r="Q41" s="16">
        <f t="shared" ref="Q41" si="14">SUM(Q29:Q40)</f>
        <v>0</v>
      </c>
      <c r="R41" s="16">
        <f t="shared" ref="R41" si="15">SUM(R29:R40)</f>
        <v>0</v>
      </c>
      <c r="S41" s="16">
        <f t="shared" ref="S41" si="16">SUM(S29:S40)</f>
        <v>2951226</v>
      </c>
      <c r="T41" s="16">
        <f t="shared" ref="T41" si="17">SUM(T29:T40)</f>
        <v>3173949</v>
      </c>
      <c r="U41" s="16">
        <f t="shared" ref="U41" si="18">SUM(U29:U40)</f>
        <v>3205658</v>
      </c>
      <c r="V41" s="16">
        <f t="shared" ref="V41" si="19">SUM(V29:V40)</f>
        <v>0</v>
      </c>
      <c r="W41" s="16">
        <f t="shared" ref="W41" si="20">SUM(W29:W40)</f>
        <v>0</v>
      </c>
      <c r="X41" s="16">
        <f t="shared" ref="X41" si="21">SUM(X29:X40)</f>
        <v>0</v>
      </c>
      <c r="Y41" s="16">
        <f t="shared" ref="Y41" si="22">SUM(Y29:Y40)</f>
        <v>0</v>
      </c>
      <c r="Z41" s="16">
        <f t="shared" ref="Z41" si="23">SUM(Z29:Z40)</f>
        <v>3079569</v>
      </c>
      <c r="AA41" s="16">
        <f t="shared" ref="AA41" si="24">SUM(AA29:AA40)</f>
        <v>4319167</v>
      </c>
      <c r="AB41" s="16">
        <f t="shared" ref="AB41" si="25">SUM(AB29:AB40)</f>
        <v>0</v>
      </c>
      <c r="AC41" s="16">
        <f t="shared" ref="AC41" si="26">SUM(AC29:AC40)</f>
        <v>0</v>
      </c>
      <c r="AD41" s="16">
        <f t="shared" ref="AD41" si="27">SUM(AD29:AD40)</f>
        <v>0</v>
      </c>
      <c r="AE41" s="16">
        <f t="shared" ref="AE41" si="28">SUM(AE29:AE40)</f>
        <v>0</v>
      </c>
      <c r="AF41" s="16">
        <f t="shared" ref="AF41" si="29">SUM(AF29:AF40)</f>
        <v>5715332</v>
      </c>
      <c r="AG41" s="16">
        <f t="shared" ref="AG41" si="30">SUM(AG29:AG40)</f>
        <v>4532615</v>
      </c>
      <c r="AH41" s="16">
        <f t="shared" ref="AH41" si="31">SUM(AH29:AH40)</f>
        <v>0</v>
      </c>
      <c r="AI41" s="16">
        <f t="shared" ref="AI41" si="32">SUM(AI29:AI40)</f>
        <v>0</v>
      </c>
    </row>
    <row r="42" spans="1:35" s="43" customFormat="1" x14ac:dyDescent="0.3">
      <c r="A42" s="13" t="str">
        <f t="shared" si="0"/>
        <v>PA2408010</v>
      </c>
      <c r="B42" s="42" t="s">
        <v>38</v>
      </c>
      <c r="C42" s="13" t="s">
        <v>394</v>
      </c>
      <c r="D42" s="13" t="s">
        <v>395</v>
      </c>
      <c r="E42" s="13">
        <v>6835000</v>
      </c>
      <c r="F42" s="13">
        <v>6730000</v>
      </c>
      <c r="G42" s="13">
        <v>6620000</v>
      </c>
      <c r="H42" s="13">
        <v>6505000</v>
      </c>
      <c r="I42" s="13">
        <v>6380000</v>
      </c>
      <c r="J42" s="13"/>
      <c r="K42" s="13"/>
      <c r="L42" s="13"/>
      <c r="M42" s="13"/>
      <c r="N42" s="13"/>
      <c r="O42" s="13"/>
      <c r="P42" s="13"/>
      <c r="Q42" s="13"/>
      <c r="R42" s="13"/>
      <c r="S42" s="13"/>
      <c r="T42" s="13"/>
      <c r="U42" s="13"/>
      <c r="V42" s="13"/>
      <c r="W42" s="13"/>
      <c r="X42" s="13"/>
      <c r="Y42" s="13"/>
      <c r="Z42" s="13"/>
      <c r="AA42" s="13"/>
      <c r="AB42" s="13"/>
      <c r="AC42" s="13"/>
      <c r="AD42" s="13"/>
      <c r="AE42" s="13"/>
      <c r="AF42" s="13"/>
      <c r="AG42" s="13"/>
      <c r="AH42" s="13"/>
      <c r="AI42" s="13"/>
    </row>
    <row r="43" spans="1:35" s="43" customFormat="1" x14ac:dyDescent="0.3">
      <c r="A43" s="13" t="str">
        <f t="shared" si="0"/>
        <v>PA2408010</v>
      </c>
      <c r="B43" s="42" t="s">
        <v>38</v>
      </c>
      <c r="C43" s="13" t="s">
        <v>394</v>
      </c>
      <c r="D43" s="13" t="s">
        <v>396</v>
      </c>
      <c r="E43" s="13">
        <v>1806000</v>
      </c>
      <c r="F43" s="13">
        <v>1602000</v>
      </c>
      <c r="G43" s="13">
        <v>1388000</v>
      </c>
      <c r="H43" s="43">
        <v>1163000</v>
      </c>
      <c r="I43" s="13">
        <v>926000</v>
      </c>
      <c r="J43" s="13"/>
      <c r="K43" s="13"/>
      <c r="L43" s="13"/>
      <c r="M43" s="13"/>
      <c r="N43" s="13"/>
      <c r="O43" s="13"/>
      <c r="P43" s="13"/>
      <c r="Q43" s="13"/>
      <c r="R43" s="13"/>
      <c r="S43" s="13"/>
      <c r="T43" s="13"/>
      <c r="U43" s="13"/>
      <c r="V43" s="13"/>
      <c r="W43" s="13"/>
      <c r="X43" s="13"/>
      <c r="Y43" s="13"/>
      <c r="Z43" s="13"/>
      <c r="AA43" s="13"/>
      <c r="AB43" s="13"/>
      <c r="AC43" s="13"/>
      <c r="AD43" s="13"/>
      <c r="AE43" s="13"/>
      <c r="AF43" s="13"/>
      <c r="AG43" s="13"/>
      <c r="AH43" s="13"/>
      <c r="AI43" s="13"/>
    </row>
    <row r="44" spans="1:35" s="43" customFormat="1" x14ac:dyDescent="0.3">
      <c r="A44" s="13" t="str">
        <f t="shared" si="0"/>
        <v>PA2408010</v>
      </c>
      <c r="B44" s="42" t="s">
        <v>38</v>
      </c>
      <c r="C44" s="13" t="s">
        <v>394</v>
      </c>
      <c r="D44" s="13" t="s">
        <v>397</v>
      </c>
      <c r="E44" s="13">
        <v>1806000</v>
      </c>
      <c r="F44" s="13">
        <v>1602000</v>
      </c>
      <c r="G44" s="13">
        <v>1388000</v>
      </c>
      <c r="H44" s="43">
        <v>1163000</v>
      </c>
      <c r="I44" s="13">
        <v>926000</v>
      </c>
      <c r="J44" s="13"/>
      <c r="K44" s="13"/>
      <c r="L44" s="13"/>
      <c r="M44" s="13"/>
      <c r="N44" s="13"/>
      <c r="O44" s="13"/>
      <c r="P44" s="13"/>
      <c r="Q44" s="13"/>
      <c r="R44" s="13"/>
      <c r="S44" s="13">
        <v>10468176</v>
      </c>
      <c r="T44" s="13">
        <v>10608335</v>
      </c>
      <c r="U44" s="13">
        <v>9507669</v>
      </c>
      <c r="V44" s="13"/>
      <c r="W44" s="13"/>
      <c r="X44" s="13"/>
      <c r="Y44" s="13"/>
      <c r="Z44" s="13"/>
      <c r="AA44" s="13"/>
      <c r="AB44" s="13"/>
      <c r="AC44" s="13"/>
      <c r="AD44" s="13"/>
      <c r="AE44" s="13"/>
      <c r="AF44" s="13"/>
      <c r="AG44" s="13"/>
      <c r="AH44" s="13"/>
      <c r="AI44" s="13"/>
    </row>
    <row r="45" spans="1:35" s="43" customFormat="1" x14ac:dyDescent="0.3">
      <c r="A45" s="13" t="str">
        <f t="shared" si="0"/>
        <v>PA2408010</v>
      </c>
      <c r="B45" s="42" t="s">
        <v>38</v>
      </c>
      <c r="C45" s="13" t="s">
        <v>394</v>
      </c>
      <c r="D45" s="13" t="s">
        <v>398</v>
      </c>
      <c r="E45" s="13"/>
      <c r="F45" s="13"/>
      <c r="G45" s="13"/>
      <c r="I45" s="13"/>
      <c r="J45" s="13"/>
      <c r="K45" s="13"/>
      <c r="L45" s="13"/>
      <c r="M45" s="13"/>
      <c r="N45" s="13"/>
      <c r="O45" s="13"/>
      <c r="P45" s="13"/>
      <c r="Q45" s="13"/>
      <c r="R45" s="13"/>
      <c r="S45" s="13"/>
      <c r="T45" s="13"/>
      <c r="U45" s="13"/>
      <c r="V45" s="13"/>
      <c r="W45" s="13"/>
      <c r="X45" s="13"/>
      <c r="Y45" s="13"/>
      <c r="Z45" s="13">
        <v>6748698</v>
      </c>
      <c r="AA45" s="13">
        <v>6035652</v>
      </c>
      <c r="AB45" s="13"/>
      <c r="AC45" s="13"/>
      <c r="AD45" s="13"/>
      <c r="AE45" s="13"/>
      <c r="AF45" s="13"/>
      <c r="AG45" s="13"/>
      <c r="AH45" s="13"/>
      <c r="AI45" s="13"/>
    </row>
    <row r="46" spans="1:35" s="43" customFormat="1" x14ac:dyDescent="0.3">
      <c r="A46" s="13" t="str">
        <f t="shared" si="0"/>
        <v>PA2408010</v>
      </c>
      <c r="B46" s="42" t="s">
        <v>38</v>
      </c>
      <c r="C46" s="13" t="s">
        <v>394</v>
      </c>
      <c r="D46" s="13" t="s">
        <v>399</v>
      </c>
      <c r="E46" s="13">
        <v>0</v>
      </c>
      <c r="F46" s="13">
        <v>0</v>
      </c>
      <c r="G46" s="13">
        <v>236902</v>
      </c>
      <c r="H46" s="13">
        <v>236902</v>
      </c>
      <c r="I46" s="13">
        <v>599410</v>
      </c>
      <c r="J46" s="13"/>
      <c r="K46" s="13"/>
      <c r="L46" s="13"/>
      <c r="M46" s="13"/>
      <c r="N46" s="13"/>
      <c r="O46" s="13"/>
      <c r="P46" s="13"/>
      <c r="Q46" s="13"/>
      <c r="R46" s="13"/>
      <c r="S46" s="13">
        <v>26718432</v>
      </c>
      <c r="T46" s="13">
        <v>24723957</v>
      </c>
      <c r="U46" s="13">
        <v>23830216</v>
      </c>
      <c r="V46" s="13"/>
      <c r="W46" s="13"/>
      <c r="X46" s="13"/>
      <c r="Y46" s="13"/>
      <c r="Z46" s="43">
        <v>14904367</v>
      </c>
      <c r="AA46" s="13">
        <v>12752312</v>
      </c>
      <c r="AB46" s="13"/>
      <c r="AC46" s="13"/>
      <c r="AD46" s="13"/>
      <c r="AE46" s="13"/>
      <c r="AF46" s="13"/>
      <c r="AG46" s="13"/>
      <c r="AH46" s="13"/>
      <c r="AI46" s="13"/>
    </row>
    <row r="47" spans="1:35" s="43" customFormat="1" x14ac:dyDescent="0.3">
      <c r="A47" s="13" t="str">
        <f t="shared" si="0"/>
        <v>PA2408010</v>
      </c>
      <c r="B47" s="42" t="s">
        <v>38</v>
      </c>
      <c r="C47" s="13" t="s">
        <v>394</v>
      </c>
      <c r="D47" s="13" t="s">
        <v>400</v>
      </c>
      <c r="E47" s="13"/>
      <c r="F47" s="13"/>
      <c r="G47" s="13"/>
      <c r="H47" s="13"/>
      <c r="I47" s="13"/>
      <c r="J47" s="13"/>
      <c r="K47" s="13"/>
      <c r="L47" s="13"/>
      <c r="M47" s="13"/>
      <c r="N47" s="13"/>
      <c r="O47" s="13"/>
      <c r="P47" s="13"/>
      <c r="Q47" s="13"/>
      <c r="R47" s="13"/>
      <c r="S47" s="13"/>
      <c r="T47" s="13"/>
      <c r="U47" s="13"/>
      <c r="V47" s="13"/>
      <c r="W47" s="13"/>
      <c r="X47" s="13"/>
      <c r="Y47" s="13"/>
      <c r="Z47" s="13"/>
      <c r="AA47" s="13"/>
      <c r="AB47" s="13"/>
      <c r="AC47" s="13"/>
      <c r="AD47" s="13"/>
      <c r="AE47" s="13"/>
      <c r="AF47" s="13"/>
      <c r="AG47" s="13"/>
      <c r="AH47" s="13"/>
      <c r="AI47" s="13"/>
    </row>
    <row r="48" spans="1:35" s="43" customFormat="1" x14ac:dyDescent="0.3">
      <c r="A48" s="13" t="str">
        <f t="shared" si="0"/>
        <v>PA2408010</v>
      </c>
      <c r="B48" s="42" t="s">
        <v>38</v>
      </c>
      <c r="C48" s="13" t="s">
        <v>394</v>
      </c>
      <c r="D48" s="13" t="s">
        <v>401</v>
      </c>
      <c r="E48" s="13"/>
      <c r="F48" s="13"/>
      <c r="G48" s="13"/>
      <c r="H48" s="13"/>
      <c r="I48" s="13"/>
      <c r="J48" s="13"/>
      <c r="K48" s="13"/>
      <c r="L48" s="13"/>
      <c r="M48" s="13"/>
      <c r="N48" s="13"/>
      <c r="O48" s="13"/>
      <c r="P48" s="13"/>
      <c r="Q48" s="13"/>
      <c r="R48" s="13"/>
      <c r="S48" s="13"/>
      <c r="T48" s="13"/>
      <c r="U48" s="13"/>
      <c r="V48" s="13"/>
      <c r="W48" s="13"/>
      <c r="X48" s="13"/>
      <c r="Y48" s="13"/>
      <c r="Z48" s="13"/>
      <c r="AA48" s="13"/>
      <c r="AB48" s="13"/>
      <c r="AC48" s="13"/>
      <c r="AD48" s="13"/>
      <c r="AE48" s="13"/>
      <c r="AF48" s="13">
        <v>1410399</v>
      </c>
      <c r="AG48" s="13">
        <v>1167308</v>
      </c>
      <c r="AH48" s="13"/>
      <c r="AI48" s="13"/>
    </row>
    <row r="49" spans="1:35" s="43" customFormat="1" x14ac:dyDescent="0.3">
      <c r="A49" s="13" t="str">
        <f t="shared" si="0"/>
        <v>PA2408010</v>
      </c>
      <c r="B49" s="42" t="s">
        <v>38</v>
      </c>
      <c r="C49" s="13" t="s">
        <v>394</v>
      </c>
      <c r="D49" s="13" t="s">
        <v>402</v>
      </c>
      <c r="E49" s="13"/>
      <c r="F49" s="13"/>
      <c r="G49" s="13"/>
      <c r="H49" s="13"/>
      <c r="I49" s="13"/>
      <c r="J49" s="13"/>
      <c r="K49" s="13"/>
      <c r="L49" s="13"/>
      <c r="M49" s="13"/>
      <c r="N49" s="13"/>
      <c r="O49" s="13"/>
      <c r="P49" s="13"/>
      <c r="Q49" s="13"/>
      <c r="R49" s="13"/>
      <c r="S49" s="13"/>
      <c r="T49" s="13"/>
      <c r="U49" s="13"/>
      <c r="V49" s="13"/>
      <c r="W49" s="13"/>
      <c r="X49" s="13"/>
      <c r="Y49" s="13"/>
      <c r="Z49" s="13"/>
      <c r="AA49" s="13">
        <v>1003980</v>
      </c>
      <c r="AB49" s="13"/>
      <c r="AC49" s="13"/>
      <c r="AD49" s="13"/>
      <c r="AE49" s="13"/>
      <c r="AF49" s="13">
        <v>1410399</v>
      </c>
      <c r="AG49" s="13">
        <v>1167308</v>
      </c>
      <c r="AH49" s="13"/>
      <c r="AI49" s="13"/>
    </row>
    <row r="50" spans="1:35" s="43" customFormat="1" x14ac:dyDescent="0.3">
      <c r="A50" s="13" t="str">
        <f t="shared" si="0"/>
        <v>PA2408010</v>
      </c>
      <c r="B50" s="42" t="s">
        <v>38</v>
      </c>
      <c r="C50" s="13" t="s">
        <v>394</v>
      </c>
      <c r="D50" s="13" t="s">
        <v>403</v>
      </c>
      <c r="E50" s="13">
        <v>0</v>
      </c>
      <c r="F50" s="13">
        <v>0</v>
      </c>
      <c r="G50" s="13">
        <v>0</v>
      </c>
      <c r="H50" s="13">
        <v>0</v>
      </c>
      <c r="I50" s="13">
        <v>1137133</v>
      </c>
      <c r="J50" s="13"/>
      <c r="K50" s="13"/>
      <c r="L50" s="13"/>
      <c r="M50" s="13"/>
      <c r="N50" s="13"/>
      <c r="O50" s="13"/>
      <c r="P50" s="13"/>
      <c r="Q50" s="13"/>
      <c r="R50" s="13"/>
      <c r="S50" s="13"/>
      <c r="T50" s="13"/>
      <c r="U50" s="13"/>
      <c r="V50" s="13"/>
      <c r="W50" s="13"/>
      <c r="X50" s="13"/>
      <c r="Y50" s="13"/>
      <c r="Z50" s="13"/>
      <c r="AA50" s="13"/>
      <c r="AB50" s="13"/>
      <c r="AC50" s="13"/>
      <c r="AD50" s="13"/>
      <c r="AE50" s="13"/>
      <c r="AF50" s="13">
        <v>18916066</v>
      </c>
      <c r="AG50" s="13">
        <v>18413811</v>
      </c>
      <c r="AH50" s="13"/>
      <c r="AI50" s="13"/>
    </row>
    <row r="51" spans="1:35" s="41" customFormat="1" x14ac:dyDescent="0.3">
      <c r="A51" s="16" t="str">
        <f t="shared" si="0"/>
        <v>PA2408010</v>
      </c>
      <c r="B51" s="44" t="s">
        <v>38</v>
      </c>
      <c r="C51" s="16" t="s">
        <v>394</v>
      </c>
      <c r="D51" s="16"/>
      <c r="E51" s="16">
        <f t="shared" ref="E51:AI51" si="33">SUM(E42:E50)</f>
        <v>10447000</v>
      </c>
      <c r="F51" s="16">
        <f t="shared" si="33"/>
        <v>9934000</v>
      </c>
      <c r="G51" s="16">
        <f t="shared" si="33"/>
        <v>9632902</v>
      </c>
      <c r="H51" s="16">
        <f t="shared" si="33"/>
        <v>9067902</v>
      </c>
      <c r="I51" s="16">
        <f t="shared" si="33"/>
        <v>9968543</v>
      </c>
      <c r="J51" s="16">
        <f t="shared" si="33"/>
        <v>0</v>
      </c>
      <c r="K51" s="16">
        <f t="shared" si="33"/>
        <v>0</v>
      </c>
      <c r="L51" s="16">
        <f t="shared" si="33"/>
        <v>0</v>
      </c>
      <c r="M51" s="16">
        <f t="shared" si="33"/>
        <v>0</v>
      </c>
      <c r="N51" s="16">
        <f t="shared" si="33"/>
        <v>0</v>
      </c>
      <c r="O51" s="16">
        <f t="shared" si="33"/>
        <v>0</v>
      </c>
      <c r="P51" s="16">
        <f t="shared" si="33"/>
        <v>0</v>
      </c>
      <c r="Q51" s="16">
        <f t="shared" si="33"/>
        <v>0</v>
      </c>
      <c r="R51" s="16">
        <f t="shared" si="33"/>
        <v>0</v>
      </c>
      <c r="S51" s="16">
        <f t="shared" si="33"/>
        <v>37186608</v>
      </c>
      <c r="T51" s="16">
        <f t="shared" si="33"/>
        <v>35332292</v>
      </c>
      <c r="U51" s="16">
        <f t="shared" si="33"/>
        <v>33337885</v>
      </c>
      <c r="V51" s="16">
        <f t="shared" si="33"/>
        <v>0</v>
      </c>
      <c r="W51" s="16">
        <f t="shared" si="33"/>
        <v>0</v>
      </c>
      <c r="X51" s="16">
        <f t="shared" si="33"/>
        <v>0</v>
      </c>
      <c r="Y51" s="16">
        <f t="shared" si="33"/>
        <v>0</v>
      </c>
      <c r="Z51" s="16">
        <f t="shared" si="33"/>
        <v>21653065</v>
      </c>
      <c r="AA51" s="16">
        <f t="shared" si="33"/>
        <v>19791944</v>
      </c>
      <c r="AB51" s="16">
        <f t="shared" si="33"/>
        <v>0</v>
      </c>
      <c r="AC51" s="16">
        <f t="shared" si="33"/>
        <v>0</v>
      </c>
      <c r="AD51" s="16">
        <f t="shared" si="33"/>
        <v>0</v>
      </c>
      <c r="AE51" s="16">
        <f t="shared" si="33"/>
        <v>0</v>
      </c>
      <c r="AF51" s="16">
        <f t="shared" si="33"/>
        <v>21736864</v>
      </c>
      <c r="AG51" s="16">
        <f t="shared" si="33"/>
        <v>20748427</v>
      </c>
      <c r="AH51" s="16">
        <f t="shared" si="33"/>
        <v>0</v>
      </c>
      <c r="AI51" s="16">
        <f t="shared" si="33"/>
        <v>0</v>
      </c>
    </row>
    <row r="52" spans="1:35" s="41" customFormat="1" x14ac:dyDescent="0.3">
      <c r="A52" s="16" t="str">
        <f t="shared" si="0"/>
        <v>PA2408010</v>
      </c>
      <c r="B52" s="44" t="s">
        <v>38</v>
      </c>
      <c r="C52" s="16" t="s">
        <v>404</v>
      </c>
      <c r="D52" s="16"/>
      <c r="E52" s="16">
        <f t="shared" ref="E52:AI52" si="34">E51+E41</f>
        <v>11395225</v>
      </c>
      <c r="F52" s="16">
        <f t="shared" si="34"/>
        <v>10979696</v>
      </c>
      <c r="G52" s="16">
        <f t="shared" si="34"/>
        <v>10492358</v>
      </c>
      <c r="H52" s="16">
        <f t="shared" si="34"/>
        <v>9951084</v>
      </c>
      <c r="I52" s="16">
        <f t="shared" si="34"/>
        <v>12030414</v>
      </c>
      <c r="J52" s="16">
        <f t="shared" si="34"/>
        <v>0</v>
      </c>
      <c r="K52" s="16">
        <f t="shared" si="34"/>
        <v>0</v>
      </c>
      <c r="L52" s="16">
        <f t="shared" si="34"/>
        <v>0</v>
      </c>
      <c r="M52" s="16">
        <f t="shared" si="34"/>
        <v>0</v>
      </c>
      <c r="N52" s="16">
        <f t="shared" si="34"/>
        <v>0</v>
      </c>
      <c r="O52" s="16">
        <f t="shared" si="34"/>
        <v>0</v>
      </c>
      <c r="P52" s="16">
        <f t="shared" si="34"/>
        <v>0</v>
      </c>
      <c r="Q52" s="16">
        <f t="shared" si="34"/>
        <v>0</v>
      </c>
      <c r="R52" s="16">
        <f t="shared" si="34"/>
        <v>0</v>
      </c>
      <c r="S52" s="16">
        <f t="shared" si="34"/>
        <v>40137834</v>
      </c>
      <c r="T52" s="16">
        <f t="shared" si="34"/>
        <v>38506241</v>
      </c>
      <c r="U52" s="16">
        <f t="shared" si="34"/>
        <v>36543543</v>
      </c>
      <c r="V52" s="16">
        <f t="shared" si="34"/>
        <v>0</v>
      </c>
      <c r="W52" s="16">
        <f t="shared" si="34"/>
        <v>0</v>
      </c>
      <c r="X52" s="16">
        <f t="shared" si="34"/>
        <v>0</v>
      </c>
      <c r="Y52" s="16">
        <f t="shared" si="34"/>
        <v>0</v>
      </c>
      <c r="Z52" s="16">
        <f t="shared" si="34"/>
        <v>24732634</v>
      </c>
      <c r="AA52" s="16">
        <f t="shared" si="34"/>
        <v>24111111</v>
      </c>
      <c r="AB52" s="16">
        <f t="shared" si="34"/>
        <v>0</v>
      </c>
      <c r="AC52" s="16">
        <f t="shared" si="34"/>
        <v>0</v>
      </c>
      <c r="AD52" s="16">
        <f t="shared" si="34"/>
        <v>0</v>
      </c>
      <c r="AE52" s="16">
        <f t="shared" si="34"/>
        <v>0</v>
      </c>
      <c r="AF52" s="16">
        <f t="shared" si="34"/>
        <v>27452196</v>
      </c>
      <c r="AG52" s="16">
        <f t="shared" si="34"/>
        <v>25281042</v>
      </c>
      <c r="AH52" s="16">
        <f t="shared" si="34"/>
        <v>0</v>
      </c>
      <c r="AI52" s="16">
        <f t="shared" si="34"/>
        <v>0</v>
      </c>
    </row>
    <row r="53" spans="1:35" s="43" customFormat="1" x14ac:dyDescent="0.3">
      <c r="A53" s="13" t="str">
        <f t="shared" si="0"/>
        <v>PA2408010</v>
      </c>
      <c r="B53" s="42" t="s">
        <v>38</v>
      </c>
      <c r="C53" s="13" t="s">
        <v>405</v>
      </c>
      <c r="D53" s="13" t="s">
        <v>406</v>
      </c>
      <c r="E53" s="13"/>
      <c r="F53" s="13"/>
      <c r="G53" s="13"/>
      <c r="H53" s="13"/>
      <c r="I53" s="13"/>
      <c r="J53" s="13"/>
      <c r="K53" s="13"/>
      <c r="L53" s="13"/>
      <c r="M53" s="13"/>
      <c r="N53" s="13"/>
      <c r="O53" s="13"/>
      <c r="P53" s="13"/>
      <c r="Q53" s="13"/>
      <c r="R53" s="13"/>
      <c r="S53" s="13">
        <v>5149777</v>
      </c>
      <c r="T53" s="13">
        <v>5061458</v>
      </c>
      <c r="U53" s="13">
        <v>4975173</v>
      </c>
      <c r="V53" s="13"/>
      <c r="W53" s="13"/>
      <c r="X53" s="13"/>
      <c r="Y53" s="13"/>
      <c r="Z53" s="13"/>
      <c r="AA53" s="13"/>
      <c r="AB53" s="13"/>
      <c r="AC53" s="13"/>
      <c r="AD53" s="13"/>
      <c r="AE53" s="13"/>
      <c r="AF53" s="13"/>
      <c r="AG53" s="13"/>
      <c r="AH53" s="13"/>
      <c r="AI53" s="13"/>
    </row>
    <row r="54" spans="1:35" s="43" customFormat="1" x14ac:dyDescent="0.3">
      <c r="A54" s="13" t="str">
        <f t="shared" si="0"/>
        <v>PA2408010</v>
      </c>
      <c r="B54" s="42" t="s">
        <v>38</v>
      </c>
      <c r="C54" s="13" t="s">
        <v>405</v>
      </c>
      <c r="D54" s="13" t="s">
        <v>407</v>
      </c>
      <c r="E54" s="13"/>
      <c r="F54" s="13"/>
      <c r="G54" s="13"/>
      <c r="H54" s="13"/>
      <c r="I54" s="13"/>
      <c r="J54" s="13"/>
      <c r="K54" s="13"/>
      <c r="L54" s="13"/>
      <c r="M54" s="13"/>
      <c r="N54" s="13"/>
      <c r="O54" s="13"/>
      <c r="P54" s="13"/>
      <c r="Q54" s="13"/>
      <c r="R54" s="13"/>
      <c r="S54" s="13">
        <v>25093836</v>
      </c>
      <c r="T54" s="13">
        <v>26416259</v>
      </c>
      <c r="U54" s="13">
        <v>27997174</v>
      </c>
      <c r="V54" s="13"/>
      <c r="W54" s="13"/>
      <c r="X54" s="13"/>
      <c r="Y54" s="13"/>
      <c r="Z54" s="13"/>
      <c r="AA54" s="13"/>
      <c r="AB54" s="13"/>
      <c r="AC54" s="13"/>
      <c r="AD54" s="13"/>
      <c r="AE54" s="13"/>
      <c r="AF54" s="13"/>
      <c r="AG54" s="13"/>
      <c r="AH54" s="13"/>
      <c r="AI54" s="13"/>
    </row>
    <row r="55" spans="1:35" s="43" customFormat="1" x14ac:dyDescent="0.3">
      <c r="A55" s="13" t="str">
        <f t="shared" si="0"/>
        <v>PA2408010</v>
      </c>
      <c r="B55" s="42" t="s">
        <v>38</v>
      </c>
      <c r="C55" s="13" t="s">
        <v>405</v>
      </c>
      <c r="D55" s="13"/>
      <c r="E55" s="13"/>
      <c r="F55" s="13"/>
      <c r="G55" s="13"/>
      <c r="H55" s="13"/>
      <c r="I55" s="13"/>
      <c r="J55" s="13"/>
      <c r="K55" s="13"/>
      <c r="L55" s="13"/>
      <c r="M55" s="13"/>
      <c r="N55" s="13"/>
      <c r="O55" s="13"/>
      <c r="P55" s="13"/>
      <c r="Q55" s="13"/>
      <c r="R55" s="13"/>
      <c r="S55" s="13"/>
      <c r="T55" s="13"/>
      <c r="U55" s="13"/>
      <c r="V55" s="13"/>
      <c r="W55" s="13"/>
      <c r="X55" s="13"/>
      <c r="Y55" s="13"/>
      <c r="Z55" s="13"/>
      <c r="AA55" s="13"/>
      <c r="AB55" s="13"/>
      <c r="AC55" s="13"/>
      <c r="AD55" s="13"/>
      <c r="AE55" s="13"/>
      <c r="AF55" s="13"/>
      <c r="AG55" s="13"/>
      <c r="AH55" s="13"/>
      <c r="AI55" s="13"/>
    </row>
    <row r="56" spans="1:35" s="41" customFormat="1" x14ac:dyDescent="0.3">
      <c r="A56" s="16" t="str">
        <f t="shared" si="0"/>
        <v>PA2408010</v>
      </c>
      <c r="B56" s="44" t="s">
        <v>38</v>
      </c>
      <c r="C56" s="16" t="s">
        <v>405</v>
      </c>
      <c r="D56" s="16"/>
      <c r="E56" s="16">
        <f>SUM(E53:E55)</f>
        <v>0</v>
      </c>
      <c r="F56" s="16">
        <f t="shared" ref="F56:AI56" si="35">SUM(F53:F55)</f>
        <v>0</v>
      </c>
      <c r="G56" s="16">
        <f t="shared" si="35"/>
        <v>0</v>
      </c>
      <c r="H56" s="16">
        <f t="shared" si="35"/>
        <v>0</v>
      </c>
      <c r="I56" s="16">
        <f t="shared" si="35"/>
        <v>0</v>
      </c>
      <c r="J56" s="16">
        <f t="shared" si="35"/>
        <v>0</v>
      </c>
      <c r="K56" s="16">
        <f t="shared" si="35"/>
        <v>0</v>
      </c>
      <c r="L56" s="16">
        <f t="shared" si="35"/>
        <v>0</v>
      </c>
      <c r="M56" s="16">
        <f t="shared" si="35"/>
        <v>0</v>
      </c>
      <c r="N56" s="16">
        <f t="shared" si="35"/>
        <v>0</v>
      </c>
      <c r="O56" s="16">
        <f t="shared" si="35"/>
        <v>0</v>
      </c>
      <c r="P56" s="16">
        <f t="shared" si="35"/>
        <v>0</v>
      </c>
      <c r="Q56" s="16">
        <f t="shared" si="35"/>
        <v>0</v>
      </c>
      <c r="R56" s="16">
        <f t="shared" si="35"/>
        <v>0</v>
      </c>
      <c r="S56" s="16">
        <f t="shared" si="35"/>
        <v>30243613</v>
      </c>
      <c r="T56" s="16">
        <f t="shared" si="35"/>
        <v>31477717</v>
      </c>
      <c r="U56" s="16">
        <f t="shared" si="35"/>
        <v>32972347</v>
      </c>
      <c r="V56" s="16">
        <f t="shared" si="35"/>
        <v>0</v>
      </c>
      <c r="W56" s="16">
        <f t="shared" si="35"/>
        <v>0</v>
      </c>
      <c r="X56" s="16">
        <f t="shared" si="35"/>
        <v>0</v>
      </c>
      <c r="Y56" s="16">
        <f t="shared" si="35"/>
        <v>0</v>
      </c>
      <c r="Z56" s="16">
        <f t="shared" si="35"/>
        <v>0</v>
      </c>
      <c r="AA56" s="16">
        <f t="shared" si="35"/>
        <v>0</v>
      </c>
      <c r="AB56" s="16">
        <f t="shared" si="35"/>
        <v>0</v>
      </c>
      <c r="AC56" s="16">
        <f t="shared" si="35"/>
        <v>0</v>
      </c>
      <c r="AD56" s="16">
        <f t="shared" si="35"/>
        <v>0</v>
      </c>
      <c r="AE56" s="16">
        <f t="shared" si="35"/>
        <v>0</v>
      </c>
      <c r="AF56" s="16">
        <f t="shared" si="35"/>
        <v>0</v>
      </c>
      <c r="AG56" s="16">
        <f t="shared" si="35"/>
        <v>0</v>
      </c>
      <c r="AH56" s="16">
        <f t="shared" si="35"/>
        <v>0</v>
      </c>
      <c r="AI56" s="16">
        <f t="shared" si="35"/>
        <v>0</v>
      </c>
    </row>
    <row r="57" spans="1:35" s="43" customFormat="1" x14ac:dyDescent="0.3">
      <c r="A57" s="13" t="str">
        <f t="shared" si="0"/>
        <v>PA2408010</v>
      </c>
      <c r="B57" s="42" t="s">
        <v>38</v>
      </c>
      <c r="C57" s="13" t="s">
        <v>408</v>
      </c>
      <c r="D57" s="13" t="s">
        <v>409</v>
      </c>
      <c r="E57" s="16">
        <v>1784813</v>
      </c>
      <c r="F57" s="16">
        <v>1851017</v>
      </c>
      <c r="G57" s="16">
        <v>292574</v>
      </c>
      <c r="H57" s="16">
        <v>327936</v>
      </c>
      <c r="I57" s="16">
        <v>339405</v>
      </c>
      <c r="J57" s="13"/>
      <c r="K57" s="13"/>
      <c r="L57" s="13"/>
      <c r="M57" s="13"/>
      <c r="N57" s="13"/>
      <c r="O57" s="13"/>
      <c r="P57" s="13"/>
      <c r="Q57" s="13"/>
      <c r="R57" s="13"/>
      <c r="S57" s="13">
        <v>22805</v>
      </c>
      <c r="T57" s="13">
        <v>9216</v>
      </c>
      <c r="U57" s="13">
        <v>9000</v>
      </c>
      <c r="V57" s="13"/>
      <c r="W57" s="13"/>
      <c r="X57" s="13"/>
      <c r="Y57" s="13"/>
      <c r="Z57" s="13">
        <v>9000</v>
      </c>
      <c r="AA57" s="13">
        <v>9000</v>
      </c>
      <c r="AB57" s="13"/>
      <c r="AC57" s="13"/>
      <c r="AD57" s="13"/>
      <c r="AE57" s="13"/>
      <c r="AF57" s="13">
        <v>144339</v>
      </c>
      <c r="AG57" s="13">
        <v>86863</v>
      </c>
      <c r="AH57" s="13"/>
      <c r="AI57" s="13"/>
    </row>
    <row r="58" spans="1:35" s="38" customFormat="1" x14ac:dyDescent="0.3">
      <c r="A58" s="7" t="str">
        <f t="shared" si="0"/>
        <v>PA2408010</v>
      </c>
      <c r="B58" s="25" t="s">
        <v>38</v>
      </c>
      <c r="C58" s="7" t="s">
        <v>410</v>
      </c>
      <c r="D58" s="7"/>
      <c r="E58" s="45">
        <f>E57+E56+E52</f>
        <v>13180038</v>
      </c>
      <c r="F58" s="45">
        <f t="shared" ref="F58:I58" si="36">F57+F56+F52</f>
        <v>12830713</v>
      </c>
      <c r="G58" s="45">
        <f t="shared" si="36"/>
        <v>10784932</v>
      </c>
      <c r="H58" s="45">
        <f t="shared" si="36"/>
        <v>10279020</v>
      </c>
      <c r="I58" s="45">
        <f t="shared" si="36"/>
        <v>12369819</v>
      </c>
      <c r="J58" s="45">
        <f t="shared" ref="J58" si="37">J57+J56+J52</f>
        <v>0</v>
      </c>
      <c r="K58" s="45">
        <f t="shared" ref="K58" si="38">K57+K56+K52</f>
        <v>0</v>
      </c>
      <c r="L58" s="45">
        <f t="shared" ref="L58" si="39">L57+L56+L52</f>
        <v>0</v>
      </c>
      <c r="M58" s="45">
        <f t="shared" ref="M58" si="40">M57+M56+M52</f>
        <v>0</v>
      </c>
      <c r="N58" s="45">
        <f t="shared" ref="N58" si="41">N57+N56+N52</f>
        <v>0</v>
      </c>
      <c r="O58" s="45">
        <f t="shared" ref="O58" si="42">O57+O56+O52</f>
        <v>0</v>
      </c>
      <c r="P58" s="45">
        <f t="shared" ref="P58" si="43">P57+P56+P52</f>
        <v>0</v>
      </c>
      <c r="Q58" s="45">
        <f t="shared" ref="Q58" si="44">Q57+Q56+Q52</f>
        <v>0</v>
      </c>
      <c r="R58" s="45">
        <f t="shared" ref="R58" si="45">R57+R56+R52</f>
        <v>0</v>
      </c>
      <c r="S58" s="45">
        <f t="shared" ref="S58" si="46">S57+S56+S52</f>
        <v>70404252</v>
      </c>
      <c r="T58" s="45">
        <f t="shared" ref="T58" si="47">T57+T56+T52</f>
        <v>69993174</v>
      </c>
      <c r="U58" s="45">
        <f t="shared" ref="U58" si="48">U57+U56+U52</f>
        <v>69524890</v>
      </c>
      <c r="V58" s="45">
        <f t="shared" ref="V58" si="49">V57+V56+V52</f>
        <v>0</v>
      </c>
      <c r="W58" s="45">
        <f t="shared" ref="W58" si="50">W57+W56+W52</f>
        <v>0</v>
      </c>
      <c r="X58" s="45">
        <f t="shared" ref="X58" si="51">X57+X56+X52</f>
        <v>0</v>
      </c>
      <c r="Y58" s="45">
        <f t="shared" ref="Y58" si="52">Y57+Y56+Y52</f>
        <v>0</v>
      </c>
      <c r="Z58" s="45">
        <f t="shared" ref="Z58" si="53">Z57+Z56+Z52</f>
        <v>24741634</v>
      </c>
      <c r="AA58" s="45">
        <f t="shared" ref="AA58" si="54">AA57+AA56+AA52</f>
        <v>24120111</v>
      </c>
      <c r="AB58" s="45">
        <f t="shared" ref="AB58" si="55">AB57+AB56+AB52</f>
        <v>0</v>
      </c>
      <c r="AC58" s="45">
        <f t="shared" ref="AC58" si="56">AC57+AC56+AC52</f>
        <v>0</v>
      </c>
      <c r="AD58" s="45">
        <f t="shared" ref="AD58" si="57">AD57+AD56+AD52</f>
        <v>0</v>
      </c>
      <c r="AE58" s="45">
        <f t="shared" ref="AE58" si="58">AE57+AE56+AE52</f>
        <v>0</v>
      </c>
      <c r="AF58" s="45">
        <f t="shared" ref="AF58" si="59">AF57+AF56+AF52</f>
        <v>27596535</v>
      </c>
      <c r="AG58" s="45">
        <f t="shared" ref="AG58" si="60">AG57+AG56+AG52</f>
        <v>25367905</v>
      </c>
      <c r="AH58" s="45">
        <f t="shared" ref="AH58" si="61">AH57+AH56+AH52</f>
        <v>0</v>
      </c>
      <c r="AI58" s="45">
        <f t="shared" ref="AI58" si="62">AI57+AI56+AI52</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T3"/>
  <sheetViews>
    <sheetView workbookViewId="0">
      <selection activeCell="D4" sqref="D4"/>
    </sheetView>
  </sheetViews>
  <sheetFormatPr defaultColWidth="8.88671875" defaultRowHeight="14.4" x14ac:dyDescent="0.3"/>
  <cols>
    <col min="1" max="1" width="10.109375" style="1" bestFit="1" customWidth="1"/>
    <col min="2" max="2" width="27.88671875" style="1" bestFit="1" customWidth="1"/>
    <col min="3" max="4" width="8.88671875" style="1"/>
    <col min="5" max="5" width="15.44140625" style="1" bestFit="1" customWidth="1"/>
    <col min="6" max="6" width="11.88671875" style="1" bestFit="1" customWidth="1"/>
    <col min="7" max="7" width="8.88671875" style="1"/>
    <col min="8" max="8" width="12.6640625" style="20" customWidth="1"/>
    <col min="9" max="16384" width="8.88671875" style="1"/>
  </cols>
  <sheetData>
    <row r="1" spans="1:20" x14ac:dyDescent="0.3">
      <c r="A1" s="18" t="s">
        <v>17</v>
      </c>
      <c r="B1" s="18" t="s">
        <v>18</v>
      </c>
      <c r="C1" s="18" t="s">
        <v>19</v>
      </c>
      <c r="D1" s="18" t="s">
        <v>20</v>
      </c>
      <c r="E1" s="18" t="s">
        <v>21</v>
      </c>
      <c r="F1" s="18" t="s">
        <v>22</v>
      </c>
      <c r="G1" s="18" t="s">
        <v>23</v>
      </c>
      <c r="H1" s="19" t="s">
        <v>24</v>
      </c>
      <c r="I1" s="18" t="s">
        <v>25</v>
      </c>
      <c r="J1" s="18" t="s">
        <v>26</v>
      </c>
      <c r="K1" s="18" t="s">
        <v>27</v>
      </c>
      <c r="L1" s="18" t="s">
        <v>28</v>
      </c>
      <c r="M1" s="18" t="s">
        <v>29</v>
      </c>
      <c r="N1" s="18" t="s">
        <v>30</v>
      </c>
      <c r="O1" s="18" t="s">
        <v>31</v>
      </c>
      <c r="P1" s="18" t="s">
        <v>32</v>
      </c>
      <c r="Q1" s="18" t="s">
        <v>33</v>
      </c>
      <c r="R1" s="18" t="s">
        <v>34</v>
      </c>
      <c r="S1" s="18" t="s">
        <v>35</v>
      </c>
      <c r="T1" s="18" t="s">
        <v>36</v>
      </c>
    </row>
    <row r="2" spans="1:20" x14ac:dyDescent="0.3">
      <c r="A2" t="s">
        <v>37</v>
      </c>
      <c r="B2" t="s">
        <v>38</v>
      </c>
      <c r="C2" s="1">
        <v>1992</v>
      </c>
      <c r="D2" s="1" t="s">
        <v>39</v>
      </c>
      <c r="E2" s="1" t="s">
        <v>40</v>
      </c>
      <c r="F2" s="1" t="s">
        <v>41</v>
      </c>
      <c r="H2" s="20">
        <v>13250000</v>
      </c>
      <c r="I2" s="1">
        <v>1992</v>
      </c>
      <c r="J2" s="1">
        <v>2017</v>
      </c>
      <c r="K2" s="1" t="s">
        <v>42</v>
      </c>
      <c r="N2" s="1">
        <v>0.1</v>
      </c>
      <c r="O2" s="1">
        <v>1325000</v>
      </c>
      <c r="P2" s="1" t="s">
        <v>43</v>
      </c>
      <c r="Q2" s="1" t="s">
        <v>44</v>
      </c>
      <c r="R2" s="1" t="s">
        <v>44</v>
      </c>
      <c r="S2" s="1" t="s">
        <v>45</v>
      </c>
    </row>
    <row r="3" spans="1:20" x14ac:dyDescent="0.3">
      <c r="A3" t="s">
        <v>46</v>
      </c>
      <c r="B3" t="s">
        <v>38</v>
      </c>
      <c r="C3" s="1">
        <v>2006</v>
      </c>
      <c r="D3" s="1" t="s">
        <v>39</v>
      </c>
      <c r="E3" s="1" t="s">
        <v>40</v>
      </c>
      <c r="F3" s="1" t="s">
        <v>47</v>
      </c>
      <c r="H3" s="20">
        <v>9000000</v>
      </c>
      <c r="I3" s="1">
        <v>2006</v>
      </c>
      <c r="J3" s="1">
        <v>2018</v>
      </c>
      <c r="K3" s="1" t="s">
        <v>42</v>
      </c>
      <c r="N3" s="1">
        <v>0.11</v>
      </c>
      <c r="O3" s="50">
        <v>961207.18</v>
      </c>
      <c r="P3" s="1" t="s">
        <v>43</v>
      </c>
      <c r="Q3" s="1" t="s">
        <v>44</v>
      </c>
      <c r="R3" s="1" t="s">
        <v>44</v>
      </c>
      <c r="S3" s="1" t="s">
        <v>48</v>
      </c>
    </row>
  </sheetData>
  <phoneticPr fontId="5" type="noConversion"/>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I1"/>
  <sheetViews>
    <sheetView workbookViewId="0">
      <selection activeCell="A11" sqref="A11:XFD11"/>
    </sheetView>
  </sheetViews>
  <sheetFormatPr defaultColWidth="8.88671875" defaultRowHeight="14.4" x14ac:dyDescent="0.3"/>
  <cols>
    <col min="1" max="3" width="8.88671875" style="1"/>
    <col min="4" max="4" width="10.88671875" style="1" bestFit="1" customWidth="1"/>
    <col min="5" max="5" width="8.88671875" style="1"/>
    <col min="6" max="6" width="15.109375" style="1" customWidth="1"/>
    <col min="7" max="7" width="10.44140625" style="1" bestFit="1" customWidth="1"/>
    <col min="8" max="8" width="14.88671875" style="1" bestFit="1" customWidth="1"/>
    <col min="9" max="16384" width="8.88671875" style="1"/>
  </cols>
  <sheetData>
    <row r="1" spans="1:9" x14ac:dyDescent="0.3">
      <c r="A1" s="2" t="s">
        <v>17</v>
      </c>
      <c r="B1" s="2" t="s">
        <v>18</v>
      </c>
      <c r="C1" s="2" t="s">
        <v>19</v>
      </c>
      <c r="D1" s="2" t="s">
        <v>20</v>
      </c>
      <c r="E1" s="8" t="s">
        <v>97</v>
      </c>
      <c r="F1" s="5" t="s">
        <v>411</v>
      </c>
      <c r="G1" s="9" t="s">
        <v>412</v>
      </c>
      <c r="H1" s="2" t="s">
        <v>413</v>
      </c>
      <c r="I1" s="4" t="s">
        <v>36</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89743F-0FF5-4B36-A337-C068ADBD7D12}">
  <dimension ref="A1:AK38"/>
  <sheetViews>
    <sheetView tabSelected="1" workbookViewId="0">
      <selection activeCell="E17" sqref="E17:AK26"/>
    </sheetView>
  </sheetViews>
  <sheetFormatPr defaultRowHeight="14.4" x14ac:dyDescent="0.3"/>
  <cols>
    <col min="1" max="1" width="6.88671875" customWidth="1"/>
    <col min="2" max="2" width="61.109375" customWidth="1"/>
    <col min="3" max="3" width="16.33203125" customWidth="1"/>
    <col min="4" max="4" width="2.5546875" customWidth="1"/>
    <col min="5" max="9" width="11.5546875" bestFit="1" customWidth="1"/>
    <col min="10" max="13" width="12.5546875" bestFit="1" customWidth="1"/>
    <col min="14" max="16" width="11.5546875" bestFit="1" customWidth="1"/>
    <col min="17" max="17" width="12.5546875" bestFit="1" customWidth="1"/>
    <col min="18" max="21" width="10.5546875" bestFit="1" customWidth="1"/>
    <col min="22" max="22" width="11.44140625" bestFit="1" customWidth="1"/>
    <col min="23" max="27" width="10.5546875" bestFit="1" customWidth="1"/>
    <col min="28" max="31" width="10" bestFit="1" customWidth="1"/>
    <col min="35" max="35" width="11.44140625" bestFit="1" customWidth="1"/>
    <col min="36" max="36" width="10.44140625" bestFit="1" customWidth="1"/>
    <col min="37" max="37" width="12" bestFit="1" customWidth="1"/>
  </cols>
  <sheetData>
    <row r="1" spans="1:37" x14ac:dyDescent="0.3">
      <c r="B1" s="52" t="s">
        <v>414</v>
      </c>
      <c r="C1" s="52" t="s">
        <v>143</v>
      </c>
      <c r="D1" s="52"/>
      <c r="E1" s="52">
        <v>1986</v>
      </c>
      <c r="F1" s="52">
        <v>1987</v>
      </c>
      <c r="G1" s="52">
        <v>1988</v>
      </c>
      <c r="H1" s="52">
        <v>1989</v>
      </c>
      <c r="I1" s="52">
        <v>1990</v>
      </c>
      <c r="J1" s="52">
        <v>1991</v>
      </c>
      <c r="K1" s="52">
        <v>1992</v>
      </c>
      <c r="L1" s="52">
        <v>1993</v>
      </c>
      <c r="M1" s="52">
        <v>1994</v>
      </c>
      <c r="N1" s="52">
        <v>1995</v>
      </c>
      <c r="O1" s="52">
        <v>1996</v>
      </c>
      <c r="P1" s="52">
        <v>1997</v>
      </c>
      <c r="Q1" s="52">
        <v>1998</v>
      </c>
      <c r="R1" s="52">
        <v>1999</v>
      </c>
      <c r="S1" s="52">
        <v>2000</v>
      </c>
      <c r="T1" s="52">
        <v>2001</v>
      </c>
      <c r="U1" s="52">
        <v>2002</v>
      </c>
      <c r="V1" s="52">
        <v>2003</v>
      </c>
      <c r="W1" s="52">
        <v>2004</v>
      </c>
      <c r="X1" s="52">
        <v>2005</v>
      </c>
      <c r="Y1" s="52">
        <v>2006</v>
      </c>
      <c r="Z1" s="52">
        <v>2007</v>
      </c>
      <c r="AA1" s="52">
        <v>2008</v>
      </c>
      <c r="AB1" s="52">
        <v>2009</v>
      </c>
      <c r="AC1" s="52">
        <v>2010</v>
      </c>
      <c r="AD1" s="52">
        <v>2011</v>
      </c>
      <c r="AE1" s="52">
        <v>2012</v>
      </c>
      <c r="AF1" s="52">
        <v>2013</v>
      </c>
      <c r="AG1" s="52">
        <v>2014</v>
      </c>
      <c r="AH1" s="52">
        <v>2015</v>
      </c>
      <c r="AI1" s="52">
        <v>2016</v>
      </c>
      <c r="AJ1" s="52">
        <v>2017</v>
      </c>
      <c r="AK1" s="52">
        <v>2018</v>
      </c>
    </row>
    <row r="2" spans="1:37" ht="15.6" x14ac:dyDescent="0.3">
      <c r="A2" t="s">
        <v>415</v>
      </c>
      <c r="B2" s="53" t="s">
        <v>328</v>
      </c>
      <c r="C2" s="54" t="s">
        <v>416</v>
      </c>
      <c r="D2" s="54" t="s">
        <v>363</v>
      </c>
      <c r="G2">
        <f>fiscal!E14</f>
        <v>2981184</v>
      </c>
      <c r="H2">
        <f>fiscal!F14</f>
        <v>3658181</v>
      </c>
      <c r="I2">
        <f>fiscal!G14</f>
        <v>3761230</v>
      </c>
      <c r="J2">
        <f>fiscal!H14</f>
        <v>3945264</v>
      </c>
      <c r="K2">
        <f>fiscal!I14</f>
        <v>4650204</v>
      </c>
      <c r="L2">
        <f>fiscal!J14</f>
        <v>0</v>
      </c>
      <c r="M2">
        <f>fiscal!K14</f>
        <v>0</v>
      </c>
      <c r="N2">
        <f>fiscal!L14</f>
        <v>0</v>
      </c>
      <c r="O2">
        <f>fiscal!M14</f>
        <v>0</v>
      </c>
      <c r="P2">
        <f>fiscal!N14</f>
        <v>0</v>
      </c>
      <c r="Q2">
        <f>fiscal!O14</f>
        <v>0</v>
      </c>
      <c r="R2">
        <f>fiscal!P14</f>
        <v>0</v>
      </c>
      <c r="S2">
        <f>fiscal!Q14</f>
        <v>0</v>
      </c>
      <c r="T2">
        <f>fiscal!R14</f>
        <v>0</v>
      </c>
      <c r="U2">
        <f>fiscal!S14</f>
        <v>6817965</v>
      </c>
      <c r="V2">
        <f>fiscal!T14</f>
        <v>6810895</v>
      </c>
      <c r="W2">
        <f>fiscal!U14</f>
        <v>7134754</v>
      </c>
      <c r="X2">
        <f>fiscal!V14</f>
        <v>0</v>
      </c>
      <c r="Y2">
        <f>fiscal!W14</f>
        <v>0</v>
      </c>
      <c r="Z2">
        <f>fiscal!X14</f>
        <v>7518696</v>
      </c>
      <c r="AA2">
        <f>fiscal!Y14</f>
        <v>7686191</v>
      </c>
      <c r="AB2">
        <f>fiscal!Z14</f>
        <v>8242740.9949999992</v>
      </c>
      <c r="AC2">
        <f>fiscal!AA14</f>
        <v>8219117.3399999999</v>
      </c>
      <c r="AD2">
        <f>fiscal!AB14</f>
        <v>0</v>
      </c>
      <c r="AE2">
        <f>fiscal!AC14</f>
        <v>0</v>
      </c>
      <c r="AF2">
        <f>fiscal!AD14</f>
        <v>0</v>
      </c>
      <c r="AG2">
        <f>fiscal!AE14</f>
        <v>0</v>
      </c>
      <c r="AH2">
        <f>fiscal!AF14</f>
        <v>9690203</v>
      </c>
      <c r="AI2">
        <f>fiscal!AG14</f>
        <v>10157726</v>
      </c>
      <c r="AJ2">
        <f>fiscal!AH14</f>
        <v>0</v>
      </c>
      <c r="AK2">
        <f>fiscal!AI14</f>
        <v>0</v>
      </c>
    </row>
    <row r="3" spans="1:37" ht="15.6" x14ac:dyDescent="0.3">
      <c r="A3" t="s">
        <v>417</v>
      </c>
      <c r="B3" s="53" t="s">
        <v>340</v>
      </c>
      <c r="C3" s="54" t="s">
        <v>418</v>
      </c>
      <c r="D3" s="54" t="s">
        <v>363</v>
      </c>
      <c r="G3">
        <f>fiscal!E21</f>
        <v>2271313</v>
      </c>
      <c r="H3">
        <f>fiscal!F21</f>
        <v>2460225</v>
      </c>
      <c r="I3">
        <f>fiscal!G21</f>
        <v>2442439</v>
      </c>
      <c r="J3">
        <f>fiscal!H21</f>
        <v>2541696</v>
      </c>
      <c r="K3">
        <f>fiscal!I21</f>
        <v>2943246</v>
      </c>
      <c r="L3">
        <f>fiscal!J21</f>
        <v>0</v>
      </c>
      <c r="M3">
        <f>fiscal!K21</f>
        <v>0</v>
      </c>
      <c r="N3">
        <f>fiscal!L21</f>
        <v>0</v>
      </c>
      <c r="O3">
        <f>fiscal!M21</f>
        <v>0</v>
      </c>
      <c r="P3">
        <f>fiscal!N21</f>
        <v>0</v>
      </c>
      <c r="Q3">
        <f>fiscal!O21</f>
        <v>0</v>
      </c>
      <c r="R3">
        <f>fiscal!P21</f>
        <v>0</v>
      </c>
      <c r="S3">
        <f>fiscal!Q21</f>
        <v>0</v>
      </c>
      <c r="T3">
        <f>fiscal!R21</f>
        <v>0</v>
      </c>
      <c r="U3">
        <f>fiscal!S21</f>
        <v>5272777</v>
      </c>
      <c r="V3">
        <f>fiscal!T21</f>
        <v>5212841</v>
      </c>
      <c r="W3">
        <f>fiscal!U21</f>
        <v>5289961</v>
      </c>
      <c r="X3">
        <f>fiscal!V21</f>
        <v>0</v>
      </c>
      <c r="Y3">
        <f>fiscal!W21</f>
        <v>0</v>
      </c>
      <c r="Z3">
        <f>fiscal!X21</f>
        <v>5632564</v>
      </c>
      <c r="AA3">
        <f>fiscal!Y21</f>
        <v>5745504</v>
      </c>
      <c r="AB3">
        <f>fiscal!Z21</f>
        <v>6031105</v>
      </c>
      <c r="AC3">
        <f>fiscal!AA21</f>
        <v>6007861</v>
      </c>
      <c r="AD3">
        <f>fiscal!AB21</f>
        <v>0</v>
      </c>
      <c r="AE3">
        <f>fiscal!AC21</f>
        <v>0</v>
      </c>
      <c r="AF3">
        <f>fiscal!AD21</f>
        <v>0</v>
      </c>
      <c r="AG3">
        <f>fiscal!AE21</f>
        <v>0</v>
      </c>
      <c r="AH3">
        <f>fiscal!AF21</f>
        <v>8549916</v>
      </c>
      <c r="AI3">
        <f>fiscal!AG21</f>
        <v>8940877</v>
      </c>
      <c r="AJ3">
        <f>fiscal!AH21</f>
        <v>0</v>
      </c>
      <c r="AK3">
        <f>fiscal!AI21</f>
        <v>0</v>
      </c>
    </row>
    <row r="4" spans="1:37" ht="15.6" x14ac:dyDescent="0.3">
      <c r="A4" t="s">
        <v>419</v>
      </c>
      <c r="B4" s="53" t="s">
        <v>420</v>
      </c>
      <c r="C4" s="54" t="s">
        <v>421</v>
      </c>
      <c r="D4" s="54" t="s">
        <v>363</v>
      </c>
      <c r="E4" s="55"/>
      <c r="F4" s="55"/>
      <c r="G4" s="55">
        <f>fiscal!E17</f>
        <v>273533</v>
      </c>
      <c r="H4" s="55">
        <f>fiscal!F17</f>
        <v>333927</v>
      </c>
      <c r="I4" s="55">
        <f>fiscal!G17</f>
        <v>370873</v>
      </c>
      <c r="J4" s="55">
        <f>fiscal!H17</f>
        <v>424787</v>
      </c>
      <c r="K4" s="55">
        <f>fiscal!I17</f>
        <v>456070</v>
      </c>
      <c r="L4" s="55">
        <f>fiscal!J17</f>
        <v>0</v>
      </c>
      <c r="M4" s="55">
        <f>fiscal!K17</f>
        <v>0</v>
      </c>
      <c r="N4" s="55">
        <f>fiscal!L17</f>
        <v>0</v>
      </c>
      <c r="O4" s="55">
        <f>fiscal!M17</f>
        <v>0</v>
      </c>
      <c r="P4" s="55">
        <f>fiscal!N17</f>
        <v>0</v>
      </c>
      <c r="Q4" s="55">
        <f>fiscal!O17</f>
        <v>0</v>
      </c>
      <c r="R4" s="55">
        <f>fiscal!P17</f>
        <v>0</v>
      </c>
      <c r="S4" s="55">
        <f>fiscal!Q17</f>
        <v>0</v>
      </c>
      <c r="T4" s="55">
        <f>fiscal!R17</f>
        <v>0</v>
      </c>
      <c r="U4" s="55">
        <f>fiscal!S17</f>
        <v>1495402</v>
      </c>
      <c r="V4" s="55">
        <f>fiscal!T17</f>
        <v>1565714</v>
      </c>
      <c r="W4" s="55">
        <f>fiscal!U17</f>
        <v>1590897</v>
      </c>
      <c r="X4" s="55">
        <f>fiscal!V17</f>
        <v>0</v>
      </c>
      <c r="Y4" s="55">
        <f>fiscal!W17</f>
        <v>0</v>
      </c>
      <c r="Z4" s="55">
        <f>fiscal!X17</f>
        <v>0</v>
      </c>
      <c r="AA4" s="55">
        <f>fiscal!Y17</f>
        <v>0</v>
      </c>
      <c r="AB4" s="55">
        <f>fiscal!Z17</f>
        <v>0</v>
      </c>
      <c r="AC4" s="55">
        <f>fiscal!AA17</f>
        <v>0</v>
      </c>
      <c r="AD4" s="55">
        <f>fiscal!AB17</f>
        <v>0</v>
      </c>
      <c r="AE4" s="55">
        <f>fiscal!AC17</f>
        <v>0</v>
      </c>
      <c r="AF4" s="55">
        <f>fiscal!AD17</f>
        <v>0</v>
      </c>
      <c r="AG4" s="55">
        <f>fiscal!AE17</f>
        <v>0</v>
      </c>
      <c r="AH4" s="55">
        <f>fiscal!AF17</f>
        <v>1841967</v>
      </c>
      <c r="AI4" s="55">
        <f>fiscal!AG17</f>
        <v>1875020</v>
      </c>
      <c r="AJ4" s="55">
        <f>fiscal!AH17</f>
        <v>0</v>
      </c>
      <c r="AK4" s="55">
        <f>fiscal!AI17</f>
        <v>0</v>
      </c>
    </row>
    <row r="5" spans="1:37" ht="15.6" x14ac:dyDescent="0.3">
      <c r="A5" t="s">
        <v>422</v>
      </c>
      <c r="B5" s="53" t="s">
        <v>423</v>
      </c>
      <c r="C5" s="54" t="s">
        <v>424</v>
      </c>
      <c r="D5" s="54" t="s">
        <v>363</v>
      </c>
      <c r="G5">
        <f>Assets!E30</f>
        <v>0</v>
      </c>
      <c r="H5">
        <f>Assets!F30</f>
        <v>0</v>
      </c>
      <c r="I5">
        <f>Assets!G30</f>
        <v>0</v>
      </c>
      <c r="J5">
        <f>Assets!H30</f>
        <v>0</v>
      </c>
      <c r="K5">
        <f>Assets!I30</f>
        <v>33803</v>
      </c>
      <c r="L5">
        <f>Assets!J30</f>
        <v>0</v>
      </c>
      <c r="M5">
        <f>Assets!K30</f>
        <v>0</v>
      </c>
      <c r="N5">
        <f>Assets!L30</f>
        <v>0</v>
      </c>
      <c r="O5">
        <f>Assets!M30</f>
        <v>0</v>
      </c>
      <c r="P5">
        <f>Assets!N30</f>
        <v>0</v>
      </c>
      <c r="Q5">
        <f>Assets!O30</f>
        <v>0</v>
      </c>
      <c r="R5">
        <f>Assets!P30</f>
        <v>0</v>
      </c>
      <c r="S5">
        <f>Assets!Q30</f>
        <v>0</v>
      </c>
      <c r="T5">
        <f>Assets!R30</f>
        <v>0</v>
      </c>
      <c r="U5">
        <f>Assets!S30</f>
        <v>2345545</v>
      </c>
      <c r="V5">
        <f>Assets!T30</f>
        <v>2409737</v>
      </c>
      <c r="W5">
        <f>Assets!U30</f>
        <v>2607600</v>
      </c>
      <c r="X5">
        <f>Assets!V30</f>
        <v>0</v>
      </c>
      <c r="Y5">
        <f>Assets!W30</f>
        <v>0</v>
      </c>
      <c r="Z5">
        <f>Assets!X30</f>
        <v>0</v>
      </c>
      <c r="AA5">
        <f>Assets!Y30</f>
        <v>0</v>
      </c>
      <c r="AB5">
        <f>Assets!Z30</f>
        <v>2816498</v>
      </c>
      <c r="AC5">
        <f>Assets!AA30</f>
        <v>2863917</v>
      </c>
      <c r="AD5">
        <f>Assets!AB30</f>
        <v>0</v>
      </c>
      <c r="AE5">
        <f>Assets!AC30</f>
        <v>0</v>
      </c>
      <c r="AF5">
        <f>Assets!AD30</f>
        <v>0</v>
      </c>
      <c r="AG5">
        <f>Assets!AE30</f>
        <v>0</v>
      </c>
      <c r="AH5">
        <f>Assets!AF30</f>
        <v>4169949</v>
      </c>
      <c r="AI5">
        <f>Assets!AG30</f>
        <v>3250840</v>
      </c>
      <c r="AJ5">
        <f>Assets!AH30</f>
        <v>0</v>
      </c>
      <c r="AK5">
        <f>Assets!AI30</f>
        <v>0</v>
      </c>
    </row>
    <row r="6" spans="1:37" ht="15.6" x14ac:dyDescent="0.3">
      <c r="A6" t="s">
        <v>425</v>
      </c>
      <c r="B6" s="53" t="s">
        <v>426</v>
      </c>
      <c r="C6" s="54" t="s">
        <v>424</v>
      </c>
      <c r="D6" s="54" t="s">
        <v>363</v>
      </c>
    </row>
    <row r="7" spans="1:37" ht="15.6" x14ac:dyDescent="0.3">
      <c r="A7" t="s">
        <v>427</v>
      </c>
      <c r="B7" s="53" t="s">
        <v>428</v>
      </c>
      <c r="C7" s="54" t="s">
        <v>429</v>
      </c>
      <c r="D7" s="54" t="s">
        <v>363</v>
      </c>
      <c r="E7" s="55"/>
      <c r="F7" s="55"/>
      <c r="G7" s="55">
        <f>Assets!E11-Assets!E7</f>
        <v>848032</v>
      </c>
      <c r="H7" s="55">
        <f>Assets!F11-Assets!F7</f>
        <v>1078644</v>
      </c>
      <c r="I7" s="55">
        <f>Assets!G11-Assets!G7</f>
        <v>1203761</v>
      </c>
      <c r="J7" s="55">
        <f>Assets!H11-Assets!H7</f>
        <v>1110274</v>
      </c>
      <c r="K7" s="55">
        <f>Assets!I11-Assets!I7</f>
        <v>1297444</v>
      </c>
      <c r="L7" s="55">
        <f>Assets!J11-Assets!J7</f>
        <v>0</v>
      </c>
      <c r="M7" s="55">
        <f>Assets!K11-Assets!K7</f>
        <v>0</v>
      </c>
      <c r="N7" s="55">
        <f>Assets!L11-Assets!L7</f>
        <v>0</v>
      </c>
      <c r="O7" s="55">
        <f>Assets!M11-Assets!M7</f>
        <v>0</v>
      </c>
      <c r="P7" s="55">
        <f>Assets!N11-Assets!N7</f>
        <v>0</v>
      </c>
      <c r="Q7" s="55">
        <f>Assets!O11-Assets!O7</f>
        <v>0</v>
      </c>
      <c r="R7" s="55">
        <f>Assets!P11-Assets!P7</f>
        <v>0</v>
      </c>
      <c r="S7" s="55">
        <f>Assets!Q11-Assets!Q7</f>
        <v>0</v>
      </c>
      <c r="T7" s="55">
        <f>Assets!R11-Assets!R7</f>
        <v>0</v>
      </c>
      <c r="U7" s="55">
        <f>Assets!S11-Assets!S7</f>
        <v>1461682</v>
      </c>
      <c r="V7" s="55">
        <f>Assets!T11-Assets!T7</f>
        <v>1549285</v>
      </c>
      <c r="W7" s="55">
        <f>Assets!U11-Assets!U7</f>
        <v>1559812</v>
      </c>
      <c r="X7" s="55">
        <f>Assets!V11-Assets!V7</f>
        <v>0</v>
      </c>
      <c r="Y7" s="55">
        <f>Assets!W11-Assets!W7</f>
        <v>0</v>
      </c>
      <c r="Z7" s="55">
        <f>Assets!X11-Assets!X7</f>
        <v>0</v>
      </c>
      <c r="AA7" s="55">
        <f>Assets!Y11-Assets!Y7</f>
        <v>0</v>
      </c>
      <c r="AB7" s="55">
        <f>Assets!Z11-Assets!Z7</f>
        <v>0</v>
      </c>
      <c r="AC7" s="55">
        <f>Assets!AA11-Assets!AA7</f>
        <v>0</v>
      </c>
      <c r="AD7" s="55">
        <f>Assets!AB11-Assets!AB7</f>
        <v>0</v>
      </c>
      <c r="AE7" s="55">
        <f>Assets!AC11-Assets!AC7</f>
        <v>0</v>
      </c>
      <c r="AF7" s="55">
        <f>Assets!AD11-Assets!AD7</f>
        <v>0</v>
      </c>
      <c r="AG7" s="55">
        <f>Assets!AE11-Assets!AE7</f>
        <v>0</v>
      </c>
      <c r="AH7" s="55">
        <f>Assets!AF11-Assets!AF7</f>
        <v>1741527</v>
      </c>
      <c r="AI7" s="55">
        <f>Assets!AG11-Assets!AG7</f>
        <v>1452853</v>
      </c>
      <c r="AJ7" s="55">
        <f>Assets!AH11-Assets!AH7</f>
        <v>0</v>
      </c>
      <c r="AK7" s="55">
        <f>Assets!AI11-Assets!AI7</f>
        <v>0</v>
      </c>
    </row>
    <row r="8" spans="1:37" ht="15.6" x14ac:dyDescent="0.3">
      <c r="A8" t="s">
        <v>430</v>
      </c>
      <c r="B8" s="53" t="s">
        <v>431</v>
      </c>
      <c r="C8" s="54" t="s">
        <v>432</v>
      </c>
      <c r="D8" s="54" t="s">
        <v>363</v>
      </c>
      <c r="E8" s="55"/>
      <c r="F8" s="55"/>
      <c r="G8" s="55">
        <f>Assets!E41-Assets!E37</f>
        <v>912480</v>
      </c>
      <c r="H8" s="55">
        <f>Assets!F41-Assets!F37</f>
        <v>1009696</v>
      </c>
      <c r="I8" s="55">
        <f>Assets!G41-Assets!G37</f>
        <v>830671</v>
      </c>
      <c r="J8" s="55">
        <f>Assets!H41-Assets!H37</f>
        <v>851952</v>
      </c>
      <c r="K8" s="55">
        <f>Assets!I41-Assets!I37</f>
        <v>2029071</v>
      </c>
      <c r="L8" s="55">
        <f>Assets!J41-Assets!J37</f>
        <v>0</v>
      </c>
      <c r="M8" s="55">
        <f>Assets!K41-Assets!K37</f>
        <v>0</v>
      </c>
      <c r="N8" s="55">
        <f>Assets!L41-Assets!L37</f>
        <v>0</v>
      </c>
      <c r="O8" s="55">
        <f>Assets!M41-Assets!M37</f>
        <v>0</v>
      </c>
      <c r="P8" s="55">
        <f>Assets!N41-Assets!N37</f>
        <v>0</v>
      </c>
      <c r="Q8" s="55">
        <f>Assets!O41-Assets!O37</f>
        <v>0</v>
      </c>
      <c r="R8" s="55">
        <f>Assets!P41-Assets!P37</f>
        <v>0</v>
      </c>
      <c r="S8" s="55">
        <f>Assets!Q41-Assets!Q37</f>
        <v>0</v>
      </c>
      <c r="T8" s="55">
        <f>Assets!R41-Assets!R37</f>
        <v>0</v>
      </c>
      <c r="U8" s="55">
        <f>Assets!S41-Assets!S37</f>
        <v>2885541</v>
      </c>
      <c r="V8" s="55">
        <f>Assets!T41-Assets!T37</f>
        <v>3106014</v>
      </c>
      <c r="W8" s="55">
        <f>Assets!U41-Assets!U37</f>
        <v>3136988</v>
      </c>
      <c r="X8" s="55">
        <f>Assets!V41-Assets!V37</f>
        <v>0</v>
      </c>
      <c r="Y8" s="55">
        <f>Assets!W41-Assets!W37</f>
        <v>0</v>
      </c>
      <c r="Z8" s="55">
        <f>Assets!X41-Assets!X37</f>
        <v>0</v>
      </c>
      <c r="AA8" s="55">
        <f>Assets!Y41-Assets!Y37</f>
        <v>0</v>
      </c>
      <c r="AB8" s="55">
        <f>Assets!Z41-Assets!Z37</f>
        <v>3016287</v>
      </c>
      <c r="AC8" s="55">
        <f>Assets!AA41-Assets!AA37</f>
        <v>4263847</v>
      </c>
      <c r="AD8" s="55">
        <f>Assets!AB41-Assets!AB37</f>
        <v>0</v>
      </c>
      <c r="AE8" s="55">
        <f>Assets!AC41-Assets!AC37</f>
        <v>0</v>
      </c>
      <c r="AF8" s="55">
        <f>Assets!AD41-Assets!AD37</f>
        <v>0</v>
      </c>
      <c r="AG8" s="55">
        <f>Assets!AE41-Assets!AE37</f>
        <v>0</v>
      </c>
      <c r="AH8" s="55">
        <f>Assets!AF41-Assets!AF37</f>
        <v>5693525</v>
      </c>
      <c r="AI8" s="55">
        <f>Assets!AG41-Assets!AG37</f>
        <v>4512223</v>
      </c>
      <c r="AJ8" s="55">
        <f>Assets!AH41-Assets!AH37</f>
        <v>0</v>
      </c>
      <c r="AK8" s="55">
        <f>Assets!AI41-Assets!AI37</f>
        <v>0</v>
      </c>
    </row>
    <row r="9" spans="1:37" ht="15.6" x14ac:dyDescent="0.3">
      <c r="A9" t="s">
        <v>433</v>
      </c>
      <c r="B9" s="53" t="s">
        <v>434</v>
      </c>
      <c r="C9" s="54" t="s">
        <v>435</v>
      </c>
      <c r="D9" s="54" t="s">
        <v>363</v>
      </c>
      <c r="G9">
        <f>Assets!E3</f>
        <v>136656</v>
      </c>
      <c r="H9">
        <f>Assets!F3</f>
        <v>223416</v>
      </c>
      <c r="I9">
        <f>Assets!G3</f>
        <v>216605</v>
      </c>
      <c r="J9">
        <f>Assets!H3</f>
        <v>130734</v>
      </c>
      <c r="K9">
        <f>Assets!I3</f>
        <v>211639</v>
      </c>
      <c r="L9">
        <f>Assets!J3</f>
        <v>0</v>
      </c>
      <c r="M9">
        <f>Assets!K3</f>
        <v>0</v>
      </c>
      <c r="N9">
        <f>Assets!L3</f>
        <v>0</v>
      </c>
      <c r="O9">
        <f>Assets!M3</f>
        <v>0</v>
      </c>
      <c r="P9">
        <f>Assets!N3</f>
        <v>0</v>
      </c>
      <c r="Q9">
        <f>Assets!O3</f>
        <v>0</v>
      </c>
      <c r="R9">
        <f>Assets!P3</f>
        <v>0</v>
      </c>
      <c r="S9">
        <f>Assets!Q3</f>
        <v>0</v>
      </c>
      <c r="T9">
        <f>Assets!R3</f>
        <v>0</v>
      </c>
      <c r="U9">
        <f>Assets!S3</f>
        <v>198635</v>
      </c>
      <c r="V9">
        <f>Assets!T3</f>
        <v>211337</v>
      </c>
      <c r="W9">
        <f>Assets!U3</f>
        <v>202761</v>
      </c>
      <c r="X9">
        <f>Assets!V3</f>
        <v>0</v>
      </c>
      <c r="Y9">
        <f>Assets!W3</f>
        <v>0</v>
      </c>
      <c r="Z9">
        <f>Assets!X3</f>
        <v>0</v>
      </c>
      <c r="AA9">
        <f>Assets!Y3</f>
        <v>0</v>
      </c>
      <c r="AB9">
        <f>Assets!Z3</f>
        <v>0</v>
      </c>
      <c r="AC9">
        <f>Assets!AA3</f>
        <v>0</v>
      </c>
      <c r="AD9">
        <f>Assets!AB3</f>
        <v>0</v>
      </c>
      <c r="AE9">
        <f>Assets!AC3</f>
        <v>0</v>
      </c>
      <c r="AF9">
        <f>Assets!AD3</f>
        <v>0</v>
      </c>
      <c r="AG9">
        <f>Assets!AE3</f>
        <v>0</v>
      </c>
      <c r="AH9">
        <f>Assets!AF3</f>
        <v>106123</v>
      </c>
      <c r="AI9">
        <f>Assets!AG3</f>
        <v>328994</v>
      </c>
      <c r="AJ9">
        <f>Assets!AH3</f>
        <v>0</v>
      </c>
      <c r="AK9">
        <f>Assets!AI3</f>
        <v>0</v>
      </c>
    </row>
    <row r="10" spans="1:37" ht="15.6" x14ac:dyDescent="0.3">
      <c r="A10" t="s">
        <v>436</v>
      </c>
      <c r="B10" s="53" t="s">
        <v>437</v>
      </c>
      <c r="C10" s="54" t="s">
        <v>438</v>
      </c>
      <c r="D10" s="54" t="s">
        <v>363</v>
      </c>
      <c r="E10" s="55"/>
      <c r="F10" s="55"/>
      <c r="G10" s="55"/>
      <c r="H10" s="55"/>
      <c r="I10" s="55"/>
      <c r="J10" s="55"/>
      <c r="K10" s="55"/>
      <c r="L10" s="55"/>
      <c r="M10" s="55"/>
      <c r="N10" s="55"/>
      <c r="O10" s="55"/>
      <c r="P10" s="55"/>
      <c r="Q10" s="55"/>
      <c r="R10" s="55"/>
      <c r="S10" s="55"/>
      <c r="T10" s="55"/>
      <c r="U10" s="55"/>
      <c r="V10" s="55"/>
      <c r="W10" s="55"/>
      <c r="X10" s="55"/>
      <c r="Y10" s="55"/>
      <c r="Z10" s="55"/>
      <c r="AA10" s="55"/>
      <c r="AB10" s="55"/>
      <c r="AC10" s="55"/>
      <c r="AD10" s="55"/>
      <c r="AE10" s="55"/>
      <c r="AF10" s="55"/>
      <c r="AG10" s="55"/>
      <c r="AH10" s="55"/>
      <c r="AI10" s="55"/>
      <c r="AJ10" s="55"/>
      <c r="AK10" s="55"/>
    </row>
    <row r="11" spans="1:37" ht="15.6" x14ac:dyDescent="0.3">
      <c r="A11" t="s">
        <v>439</v>
      </c>
      <c r="B11" s="53" t="s">
        <v>440</v>
      </c>
      <c r="C11" s="54" t="s">
        <v>441</v>
      </c>
      <c r="D11" s="54" t="s">
        <v>363</v>
      </c>
      <c r="E11" s="56"/>
      <c r="F11" s="56"/>
      <c r="G11" s="56">
        <f>Assets!E18</f>
        <v>17625571</v>
      </c>
      <c r="H11" s="56">
        <f>Assets!F18</f>
        <v>18005457</v>
      </c>
      <c r="I11" s="56">
        <f>Assets!G18</f>
        <v>18777475</v>
      </c>
      <c r="J11" s="56">
        <f>Assets!H18</f>
        <v>20998689</v>
      </c>
      <c r="K11" s="56">
        <f>Assets!I18</f>
        <v>23175904</v>
      </c>
      <c r="L11" s="56">
        <f>Assets!J18</f>
        <v>0</v>
      </c>
      <c r="M11" s="56">
        <f>Assets!K18</f>
        <v>0</v>
      </c>
      <c r="N11" s="56">
        <f>Assets!L18</f>
        <v>0</v>
      </c>
      <c r="O11" s="56">
        <f>Assets!M18</f>
        <v>0</v>
      </c>
      <c r="P11" s="56">
        <f>Assets!N18</f>
        <v>0</v>
      </c>
      <c r="Q11" s="56">
        <f>Assets!O18</f>
        <v>0</v>
      </c>
      <c r="R11" s="56">
        <f>Assets!P18</f>
        <v>0</v>
      </c>
      <c r="S11" s="56">
        <f>Assets!Q18</f>
        <v>0</v>
      </c>
      <c r="T11" s="56">
        <f>Assets!R18</f>
        <v>0</v>
      </c>
      <c r="U11" s="56">
        <f>Assets!S18</f>
        <v>78531733</v>
      </c>
      <c r="V11" s="56">
        <f>Assets!T18</f>
        <v>79287396</v>
      </c>
      <c r="W11" s="56">
        <f>Assets!U18</f>
        <v>81414257</v>
      </c>
      <c r="X11" s="56">
        <f>Assets!V18</f>
        <v>0</v>
      </c>
      <c r="Y11" s="56">
        <f>Assets!W18</f>
        <v>0</v>
      </c>
      <c r="Z11" s="56">
        <f>Assets!X18</f>
        <v>0</v>
      </c>
      <c r="AA11" s="56">
        <f>Assets!Y18</f>
        <v>0</v>
      </c>
      <c r="AB11" s="56">
        <f>Assets!Z18</f>
        <v>0</v>
      </c>
      <c r="AC11" s="56">
        <f>Assets!AA18</f>
        <v>0</v>
      </c>
      <c r="AD11" s="56">
        <f>Assets!AB18</f>
        <v>0</v>
      </c>
      <c r="AE11" s="56">
        <f>Assets!AC18</f>
        <v>0</v>
      </c>
      <c r="AF11" s="56">
        <f>Assets!AD18</f>
        <v>0</v>
      </c>
      <c r="AG11" s="56">
        <f>Assets!AE18</f>
        <v>0</v>
      </c>
      <c r="AH11" s="56">
        <f>Assets!AF18</f>
        <v>67574227</v>
      </c>
      <c r="AI11" s="56">
        <f>Assets!AG18</f>
        <v>81663131</v>
      </c>
      <c r="AJ11" s="56">
        <f>Assets!AH18</f>
        <v>0</v>
      </c>
      <c r="AK11" s="56">
        <f>Assets!AI18</f>
        <v>0</v>
      </c>
    </row>
    <row r="12" spans="1:37" ht="15.6" x14ac:dyDescent="0.3">
      <c r="A12" t="s">
        <v>442</v>
      </c>
      <c r="B12" s="53" t="s">
        <v>382</v>
      </c>
      <c r="G12">
        <f>Assets!E28</f>
        <v>21056295</v>
      </c>
      <c r="H12">
        <f>Assets!F28</f>
        <v>21842278</v>
      </c>
      <c r="I12">
        <f>Assets!G28</f>
        <v>22616733</v>
      </c>
      <c r="J12">
        <f>Assets!H28</f>
        <v>23967914</v>
      </c>
      <c r="K12">
        <f>Assets!I28</f>
        <v>27607712</v>
      </c>
      <c r="L12">
        <f>Assets!J28</f>
        <v>0</v>
      </c>
      <c r="M12">
        <f>Assets!K28</f>
        <v>0</v>
      </c>
      <c r="N12">
        <f>Assets!L28</f>
        <v>0</v>
      </c>
      <c r="O12">
        <f>Assets!M28</f>
        <v>0</v>
      </c>
      <c r="P12">
        <f>Assets!N28</f>
        <v>0</v>
      </c>
      <c r="Q12">
        <f>Assets!O28</f>
        <v>0</v>
      </c>
      <c r="R12">
        <f>Assets!P28</f>
        <v>0</v>
      </c>
      <c r="S12">
        <f>Assets!Q28</f>
        <v>0</v>
      </c>
      <c r="T12">
        <f>Assets!R28</f>
        <v>0</v>
      </c>
      <c r="U12">
        <f>Assets!S28</f>
        <v>70404252</v>
      </c>
      <c r="V12">
        <f>Assets!T28</f>
        <v>69993174</v>
      </c>
      <c r="W12">
        <f>Assets!U28</f>
        <v>69524890</v>
      </c>
      <c r="X12">
        <f>Assets!V28</f>
        <v>0</v>
      </c>
      <c r="Y12">
        <f>Assets!W28</f>
        <v>0</v>
      </c>
      <c r="Z12">
        <f>Assets!X28</f>
        <v>0</v>
      </c>
      <c r="AA12">
        <f>Assets!Y28</f>
        <v>0</v>
      </c>
      <c r="AB12">
        <f>Assets!Z28</f>
        <v>0</v>
      </c>
      <c r="AC12">
        <f>Assets!AA28</f>
        <v>0</v>
      </c>
      <c r="AD12">
        <f>Assets!AB28</f>
        <v>0</v>
      </c>
      <c r="AE12">
        <f>Assets!AC28</f>
        <v>0</v>
      </c>
      <c r="AF12">
        <f>Assets!AD28</f>
        <v>0</v>
      </c>
      <c r="AG12">
        <f>Assets!AE28</f>
        <v>0</v>
      </c>
      <c r="AH12">
        <f>Assets!AF28</f>
        <v>92372413</v>
      </c>
      <c r="AI12">
        <f>Assets!AG28</f>
        <v>91836909</v>
      </c>
      <c r="AJ12">
        <f>Assets!AH28</f>
        <v>0</v>
      </c>
      <c r="AK12">
        <f>Assets!AI28</f>
        <v>0</v>
      </c>
    </row>
    <row r="13" spans="1:37" ht="15.6" x14ac:dyDescent="0.3">
      <c r="A13" t="s">
        <v>443</v>
      </c>
      <c r="B13" s="53" t="s">
        <v>404</v>
      </c>
      <c r="G13">
        <f>Assets!E52</f>
        <v>11395225</v>
      </c>
      <c r="H13">
        <f>Assets!F52</f>
        <v>10979696</v>
      </c>
      <c r="I13">
        <f>Assets!G52</f>
        <v>10492358</v>
      </c>
      <c r="J13">
        <f>Assets!H52</f>
        <v>9951084</v>
      </c>
      <c r="K13">
        <f>Assets!I52</f>
        <v>12030414</v>
      </c>
      <c r="L13">
        <f>Assets!J52</f>
        <v>0</v>
      </c>
      <c r="M13">
        <f>Assets!K52</f>
        <v>0</v>
      </c>
      <c r="N13">
        <f>Assets!L52</f>
        <v>0</v>
      </c>
      <c r="O13">
        <f>Assets!M52</f>
        <v>0</v>
      </c>
      <c r="P13">
        <f>Assets!N52</f>
        <v>0</v>
      </c>
      <c r="Q13">
        <f>Assets!O52</f>
        <v>0</v>
      </c>
      <c r="R13">
        <f>Assets!P52</f>
        <v>0</v>
      </c>
      <c r="S13">
        <f>Assets!Q52</f>
        <v>0</v>
      </c>
      <c r="T13">
        <f>Assets!R52</f>
        <v>0</v>
      </c>
      <c r="U13">
        <f>Assets!S52</f>
        <v>40137834</v>
      </c>
      <c r="V13">
        <f>Assets!T52</f>
        <v>38506241</v>
      </c>
      <c r="W13">
        <f>Assets!U52</f>
        <v>36543543</v>
      </c>
      <c r="X13">
        <f>Assets!V52</f>
        <v>0</v>
      </c>
      <c r="Y13">
        <f>Assets!W52</f>
        <v>0</v>
      </c>
      <c r="Z13">
        <f>Assets!X52</f>
        <v>0</v>
      </c>
      <c r="AA13">
        <f>Assets!Y52</f>
        <v>0</v>
      </c>
      <c r="AB13">
        <f>Assets!Z52</f>
        <v>24732634</v>
      </c>
      <c r="AC13">
        <f>Assets!AA52</f>
        <v>24111111</v>
      </c>
      <c r="AD13">
        <f>Assets!AB52</f>
        <v>0</v>
      </c>
      <c r="AE13">
        <f>Assets!AC52</f>
        <v>0</v>
      </c>
      <c r="AF13">
        <f>Assets!AD52</f>
        <v>0</v>
      </c>
      <c r="AG13">
        <f>Assets!AE52</f>
        <v>0</v>
      </c>
      <c r="AH13">
        <f>Assets!AF52</f>
        <v>27452196</v>
      </c>
      <c r="AI13">
        <f>Assets!AG52</f>
        <v>25281042</v>
      </c>
      <c r="AJ13">
        <f>Assets!AH52</f>
        <v>0</v>
      </c>
      <c r="AK13">
        <f>Assets!AI52</f>
        <v>0</v>
      </c>
    </row>
    <row r="14" spans="1:37" ht="15.6" x14ac:dyDescent="0.3">
      <c r="A14" t="s">
        <v>444</v>
      </c>
      <c r="B14" s="53" t="s">
        <v>445</v>
      </c>
      <c r="C14" s="54" t="s">
        <v>446</v>
      </c>
      <c r="D14" s="54" t="s">
        <v>363</v>
      </c>
      <c r="E14" s="56" t="e">
        <f t="shared" ref="E14:G14" si="0">E11-D11+E4</f>
        <v>#VALUE!</v>
      </c>
      <c r="F14" s="56">
        <f t="shared" si="0"/>
        <v>0</v>
      </c>
      <c r="G14" s="56">
        <f t="shared" si="0"/>
        <v>17899104</v>
      </c>
      <c r="H14" s="56">
        <f>H11-G11+H4</f>
        <v>713813</v>
      </c>
      <c r="I14" s="56">
        <f t="shared" ref="I14:AK14" si="1">I11-H11+I4</f>
        <v>1142891</v>
      </c>
      <c r="J14" s="56">
        <f t="shared" si="1"/>
        <v>2646001</v>
      </c>
      <c r="K14" s="56">
        <f t="shared" si="1"/>
        <v>2633285</v>
      </c>
      <c r="L14" s="56">
        <f t="shared" si="1"/>
        <v>-23175904</v>
      </c>
      <c r="M14" s="56">
        <f t="shared" si="1"/>
        <v>0</v>
      </c>
      <c r="N14" s="56">
        <f t="shared" si="1"/>
        <v>0</v>
      </c>
      <c r="O14" s="56">
        <f t="shared" si="1"/>
        <v>0</v>
      </c>
      <c r="P14" s="56">
        <f t="shared" si="1"/>
        <v>0</v>
      </c>
      <c r="Q14" s="56">
        <f t="shared" si="1"/>
        <v>0</v>
      </c>
      <c r="R14" s="56">
        <f t="shared" si="1"/>
        <v>0</v>
      </c>
      <c r="S14" s="56">
        <f t="shared" si="1"/>
        <v>0</v>
      </c>
      <c r="T14" s="56">
        <f t="shared" si="1"/>
        <v>0</v>
      </c>
      <c r="U14" s="56">
        <f t="shared" si="1"/>
        <v>80027135</v>
      </c>
      <c r="V14" s="56">
        <f t="shared" si="1"/>
        <v>2321377</v>
      </c>
      <c r="W14" s="56">
        <f t="shared" si="1"/>
        <v>3717758</v>
      </c>
      <c r="X14" s="56">
        <f t="shared" si="1"/>
        <v>-81414257</v>
      </c>
      <c r="Y14" s="56">
        <f t="shared" si="1"/>
        <v>0</v>
      </c>
      <c r="Z14" s="56">
        <f t="shared" si="1"/>
        <v>0</v>
      </c>
      <c r="AA14" s="56">
        <f t="shared" si="1"/>
        <v>0</v>
      </c>
      <c r="AB14" s="56">
        <f t="shared" si="1"/>
        <v>0</v>
      </c>
      <c r="AC14" s="56">
        <f t="shared" si="1"/>
        <v>0</v>
      </c>
      <c r="AD14" s="56">
        <f t="shared" si="1"/>
        <v>0</v>
      </c>
      <c r="AE14" s="56">
        <f t="shared" si="1"/>
        <v>0</v>
      </c>
      <c r="AF14" s="56">
        <f t="shared" si="1"/>
        <v>0</v>
      </c>
      <c r="AG14" s="56">
        <f t="shared" si="1"/>
        <v>0</v>
      </c>
      <c r="AH14" s="56">
        <f t="shared" si="1"/>
        <v>69416194</v>
      </c>
      <c r="AI14" s="56">
        <f>AI11-AH11+AI4</f>
        <v>15963924</v>
      </c>
      <c r="AJ14" s="56">
        <f t="shared" si="1"/>
        <v>-81663131</v>
      </c>
      <c r="AK14" s="56">
        <f t="shared" si="1"/>
        <v>0</v>
      </c>
    </row>
    <row r="16" spans="1:37" ht="15.6" x14ac:dyDescent="0.3">
      <c r="B16" s="57" t="s">
        <v>447</v>
      </c>
      <c r="C16" s="52" t="s">
        <v>448</v>
      </c>
      <c r="D16" s="38"/>
    </row>
    <row r="17" spans="1:37" ht="28.8" x14ac:dyDescent="0.3">
      <c r="B17" t="s">
        <v>449</v>
      </c>
      <c r="C17" s="58" t="s">
        <v>450</v>
      </c>
      <c r="D17" s="58"/>
      <c r="E17" s="59" t="str">
        <f>IFERROR(E2/E3, "")</f>
        <v/>
      </c>
      <c r="F17" s="59" t="str">
        <f t="shared" ref="F17:AK17" si="2">IFERROR(F2/F3, "")</f>
        <v/>
      </c>
      <c r="G17" s="59">
        <f t="shared" si="2"/>
        <v>1.3125377259761204</v>
      </c>
      <c r="H17" s="59">
        <f t="shared" si="2"/>
        <v>1.4869294475098822</v>
      </c>
      <c r="I17" s="59">
        <f t="shared" si="2"/>
        <v>1.5399483876567643</v>
      </c>
      <c r="J17" s="59">
        <f t="shared" si="2"/>
        <v>1.5522171022813114</v>
      </c>
      <c r="K17" s="59">
        <f t="shared" si="2"/>
        <v>1.5799576386071705</v>
      </c>
      <c r="L17" s="59" t="str">
        <f t="shared" si="2"/>
        <v/>
      </c>
      <c r="M17" s="59" t="str">
        <f t="shared" si="2"/>
        <v/>
      </c>
      <c r="N17" s="59" t="str">
        <f t="shared" si="2"/>
        <v/>
      </c>
      <c r="O17" s="59" t="str">
        <f t="shared" si="2"/>
        <v/>
      </c>
      <c r="P17" s="59" t="str">
        <f t="shared" si="2"/>
        <v/>
      </c>
      <c r="Q17" s="59" t="str">
        <f t="shared" si="2"/>
        <v/>
      </c>
      <c r="R17" s="59" t="str">
        <f t="shared" si="2"/>
        <v/>
      </c>
      <c r="S17" s="59" t="str">
        <f t="shared" si="2"/>
        <v/>
      </c>
      <c r="T17" s="59" t="str">
        <f t="shared" si="2"/>
        <v/>
      </c>
      <c r="U17" s="59">
        <f t="shared" si="2"/>
        <v>1.2930501327858166</v>
      </c>
      <c r="V17" s="59">
        <f t="shared" si="2"/>
        <v>1.3065610479966683</v>
      </c>
      <c r="W17" s="59">
        <f t="shared" si="2"/>
        <v>1.3487347071178786</v>
      </c>
      <c r="X17" s="59" t="str">
        <f t="shared" si="2"/>
        <v/>
      </c>
      <c r="Y17" s="59" t="str">
        <f t="shared" si="2"/>
        <v/>
      </c>
      <c r="Z17" s="59">
        <f t="shared" si="2"/>
        <v>1.3348620628189933</v>
      </c>
      <c r="AA17" s="59">
        <f t="shared" si="2"/>
        <v>1.337774893203451</v>
      </c>
      <c r="AB17" s="59">
        <f t="shared" si="2"/>
        <v>1.3667049396420721</v>
      </c>
      <c r="AC17" s="59">
        <f t="shared" si="2"/>
        <v>1.3680605027313382</v>
      </c>
      <c r="AD17" s="59" t="str">
        <f t="shared" si="2"/>
        <v/>
      </c>
      <c r="AE17" s="59" t="str">
        <f t="shared" si="2"/>
        <v/>
      </c>
      <c r="AF17" s="59" t="str">
        <f t="shared" si="2"/>
        <v/>
      </c>
      <c r="AG17" s="59" t="str">
        <f t="shared" si="2"/>
        <v/>
      </c>
      <c r="AH17" s="59">
        <f t="shared" si="2"/>
        <v>1.1333682108689722</v>
      </c>
      <c r="AI17" s="59">
        <f t="shared" si="2"/>
        <v>1.1360995123856419</v>
      </c>
      <c r="AJ17" s="59" t="str">
        <f t="shared" si="2"/>
        <v/>
      </c>
      <c r="AK17" s="59" t="str">
        <f t="shared" si="2"/>
        <v/>
      </c>
    </row>
    <row r="18" spans="1:37" ht="28.8" x14ac:dyDescent="0.3">
      <c r="B18" t="s">
        <v>451</v>
      </c>
      <c r="C18" s="58" t="s">
        <v>452</v>
      </c>
      <c r="D18" s="58"/>
      <c r="E18" s="59" t="str">
        <f>IFERROR(IF(E4="","",E2/(E3-E4)), "")</f>
        <v/>
      </c>
      <c r="F18" s="59" t="str">
        <f t="shared" ref="F18:AK18" si="3">IFERROR(IF(F4="","",F2/(F3-F4)), "")</f>
        <v/>
      </c>
      <c r="G18" s="59">
        <f t="shared" si="3"/>
        <v>1.4922483957192483</v>
      </c>
      <c r="H18" s="59">
        <f t="shared" si="3"/>
        <v>1.7204460522466747</v>
      </c>
      <c r="I18" s="59">
        <f t="shared" si="3"/>
        <v>1.8156457481924302</v>
      </c>
      <c r="J18" s="59">
        <f t="shared" si="3"/>
        <v>1.8636908813746835</v>
      </c>
      <c r="K18" s="59">
        <f t="shared" si="3"/>
        <v>1.8696722708807096</v>
      </c>
      <c r="L18" s="59" t="str">
        <f t="shared" si="3"/>
        <v/>
      </c>
      <c r="M18" s="59" t="str">
        <f t="shared" si="3"/>
        <v/>
      </c>
      <c r="N18" s="59" t="str">
        <f t="shared" si="3"/>
        <v/>
      </c>
      <c r="O18" s="59" t="str">
        <f t="shared" si="3"/>
        <v/>
      </c>
      <c r="P18" s="59" t="str">
        <f t="shared" si="3"/>
        <v/>
      </c>
      <c r="Q18" s="59" t="str">
        <f t="shared" si="3"/>
        <v/>
      </c>
      <c r="R18" s="59" t="str">
        <f t="shared" si="3"/>
        <v/>
      </c>
      <c r="S18" s="59" t="str">
        <f t="shared" si="3"/>
        <v/>
      </c>
      <c r="T18" s="59" t="str">
        <f t="shared" si="3"/>
        <v/>
      </c>
      <c r="U18" s="59">
        <f t="shared" si="3"/>
        <v>1.8049478804725503</v>
      </c>
      <c r="V18" s="59">
        <f t="shared" si="3"/>
        <v>1.8674685581280828</v>
      </c>
      <c r="W18" s="59">
        <f t="shared" si="3"/>
        <v>1.9287998261181747</v>
      </c>
      <c r="X18" s="59" t="str">
        <f t="shared" si="3"/>
        <v/>
      </c>
      <c r="Y18" s="59" t="str">
        <f t="shared" si="3"/>
        <v/>
      </c>
      <c r="Z18" s="59">
        <f t="shared" si="3"/>
        <v>1.3348620628189933</v>
      </c>
      <c r="AA18" s="59">
        <f t="shared" si="3"/>
        <v>1.337774893203451</v>
      </c>
      <c r="AB18" s="59">
        <f t="shared" si="3"/>
        <v>1.3667049396420721</v>
      </c>
      <c r="AC18" s="59">
        <f t="shared" si="3"/>
        <v>1.3680605027313382</v>
      </c>
      <c r="AD18" s="59" t="str">
        <f t="shared" si="3"/>
        <v/>
      </c>
      <c r="AE18" s="59" t="str">
        <f t="shared" si="3"/>
        <v/>
      </c>
      <c r="AF18" s="59" t="str">
        <f t="shared" si="3"/>
        <v/>
      </c>
      <c r="AG18" s="59" t="str">
        <f t="shared" si="3"/>
        <v/>
      </c>
      <c r="AH18" s="59">
        <f t="shared" si="3"/>
        <v>1.4445850736193731</v>
      </c>
      <c r="AI18" s="59">
        <f t="shared" si="3"/>
        <v>1.4375787678692054</v>
      </c>
      <c r="AJ18" s="59" t="str">
        <f t="shared" si="3"/>
        <v/>
      </c>
      <c r="AK18" s="59" t="str">
        <f t="shared" si="3"/>
        <v/>
      </c>
    </row>
    <row r="19" spans="1:37" ht="28.8" x14ac:dyDescent="0.3">
      <c r="B19" t="s">
        <v>453</v>
      </c>
      <c r="C19" s="60" t="s">
        <v>454</v>
      </c>
      <c r="D19" s="60"/>
      <c r="E19" s="59" t="str">
        <f>IF(E4="","",IF(E5="","",IF(E6="","",(E2-E3+E4)/(E5+E6))))</f>
        <v/>
      </c>
      <c r="F19" s="59" t="str">
        <f t="shared" ref="F19:AK19" si="4">IF(F4="","",IF(F5="","",IF(F6="","",(F2-F3+F4)/(F5+F6))))</f>
        <v/>
      </c>
      <c r="G19" s="59" t="str">
        <f t="shared" si="4"/>
        <v/>
      </c>
      <c r="H19" s="59" t="str">
        <f t="shared" si="4"/>
        <v/>
      </c>
      <c r="I19" s="59" t="str">
        <f t="shared" si="4"/>
        <v/>
      </c>
      <c r="J19" s="59" t="str">
        <f t="shared" si="4"/>
        <v/>
      </c>
      <c r="K19" s="59" t="str">
        <f t="shared" si="4"/>
        <v/>
      </c>
      <c r="L19" s="59" t="str">
        <f t="shared" si="4"/>
        <v/>
      </c>
      <c r="M19" s="59" t="str">
        <f t="shared" si="4"/>
        <v/>
      </c>
      <c r="N19" s="59" t="str">
        <f t="shared" si="4"/>
        <v/>
      </c>
      <c r="O19" s="59" t="str">
        <f t="shared" si="4"/>
        <v/>
      </c>
      <c r="P19" s="59" t="str">
        <f t="shared" si="4"/>
        <v/>
      </c>
      <c r="Q19" s="59" t="str">
        <f t="shared" si="4"/>
        <v/>
      </c>
      <c r="R19" s="59" t="str">
        <f t="shared" si="4"/>
        <v/>
      </c>
      <c r="S19" s="59" t="str">
        <f t="shared" si="4"/>
        <v/>
      </c>
      <c r="T19" s="59" t="str">
        <f t="shared" si="4"/>
        <v/>
      </c>
      <c r="U19" s="59" t="str">
        <f t="shared" si="4"/>
        <v/>
      </c>
      <c r="V19" s="59" t="str">
        <f t="shared" si="4"/>
        <v/>
      </c>
      <c r="W19" s="59" t="str">
        <f t="shared" si="4"/>
        <v/>
      </c>
      <c r="X19" s="59" t="str">
        <f t="shared" si="4"/>
        <v/>
      </c>
      <c r="Y19" s="59" t="str">
        <f t="shared" si="4"/>
        <v/>
      </c>
      <c r="Z19" s="59" t="str">
        <f t="shared" si="4"/>
        <v/>
      </c>
      <c r="AA19" s="59" t="str">
        <f t="shared" si="4"/>
        <v/>
      </c>
      <c r="AB19" s="59" t="str">
        <f t="shared" si="4"/>
        <v/>
      </c>
      <c r="AC19" s="59" t="str">
        <f t="shared" si="4"/>
        <v/>
      </c>
      <c r="AD19" s="59" t="str">
        <f t="shared" si="4"/>
        <v/>
      </c>
      <c r="AE19" s="59" t="str">
        <f t="shared" si="4"/>
        <v/>
      </c>
      <c r="AF19" s="59" t="str">
        <f t="shared" si="4"/>
        <v/>
      </c>
      <c r="AG19" s="59" t="str">
        <f t="shared" si="4"/>
        <v/>
      </c>
      <c r="AH19" s="59" t="str">
        <f t="shared" si="4"/>
        <v/>
      </c>
      <c r="AI19" s="59" t="str">
        <f t="shared" si="4"/>
        <v/>
      </c>
      <c r="AJ19" s="59" t="str">
        <f t="shared" si="4"/>
        <v/>
      </c>
      <c r="AK19" s="59" t="str">
        <f t="shared" si="4"/>
        <v/>
      </c>
    </row>
    <row r="20" spans="1:37" ht="28.8" x14ac:dyDescent="0.3">
      <c r="B20" t="s">
        <v>455</v>
      </c>
      <c r="C20" s="60" t="s">
        <v>456</v>
      </c>
      <c r="D20" s="60"/>
      <c r="E20" s="59" t="str">
        <f>IFERROR(IF(E7=0,"",E7/E8), "")</f>
        <v/>
      </c>
      <c r="F20" s="59" t="str">
        <f t="shared" ref="F20:AK20" si="5">IFERROR(IF(F7=0,"",F7/F8), "")</f>
        <v/>
      </c>
      <c r="G20" s="59">
        <f t="shared" si="5"/>
        <v>0.92937050675083288</v>
      </c>
      <c r="H20" s="59">
        <f t="shared" si="5"/>
        <v>1.0682858999144298</v>
      </c>
      <c r="I20" s="59">
        <f t="shared" si="5"/>
        <v>1.4491429218065877</v>
      </c>
      <c r="J20" s="59">
        <f t="shared" si="5"/>
        <v>1.3032119180423309</v>
      </c>
      <c r="K20" s="59">
        <f t="shared" si="5"/>
        <v>0.63942760011847788</v>
      </c>
      <c r="L20" s="59" t="str">
        <f t="shared" si="5"/>
        <v/>
      </c>
      <c r="M20" s="59" t="str">
        <f t="shared" si="5"/>
        <v/>
      </c>
      <c r="N20" s="59" t="str">
        <f t="shared" si="5"/>
        <v/>
      </c>
      <c r="O20" s="59" t="str">
        <f t="shared" si="5"/>
        <v/>
      </c>
      <c r="P20" s="59" t="str">
        <f t="shared" si="5"/>
        <v/>
      </c>
      <c r="Q20" s="59" t="str">
        <f t="shared" si="5"/>
        <v/>
      </c>
      <c r="R20" s="59" t="str">
        <f t="shared" si="5"/>
        <v/>
      </c>
      <c r="S20" s="59" t="str">
        <f t="shared" si="5"/>
        <v/>
      </c>
      <c r="T20" s="59" t="str">
        <f t="shared" si="5"/>
        <v/>
      </c>
      <c r="U20" s="59">
        <f t="shared" si="5"/>
        <v>0.50655388365647902</v>
      </c>
      <c r="V20" s="59">
        <f t="shared" si="5"/>
        <v>0.49880167958032384</v>
      </c>
      <c r="W20" s="59">
        <f t="shared" si="5"/>
        <v>0.49723237704447704</v>
      </c>
      <c r="X20" s="59" t="str">
        <f t="shared" si="5"/>
        <v/>
      </c>
      <c r="Y20" s="59" t="str">
        <f t="shared" si="5"/>
        <v/>
      </c>
      <c r="Z20" s="59" t="str">
        <f t="shared" si="5"/>
        <v/>
      </c>
      <c r="AA20" s="59" t="str">
        <f t="shared" si="5"/>
        <v/>
      </c>
      <c r="AB20" s="59" t="str">
        <f>IFERROR(IF(AB7=0,"",AB7/AB8), "")</f>
        <v/>
      </c>
      <c r="AC20" s="59" t="str">
        <f t="shared" si="5"/>
        <v/>
      </c>
      <c r="AD20" s="59" t="str">
        <f t="shared" si="5"/>
        <v/>
      </c>
      <c r="AE20" s="59" t="str">
        <f t="shared" si="5"/>
        <v/>
      </c>
      <c r="AF20" s="59" t="str">
        <f t="shared" si="5"/>
        <v/>
      </c>
      <c r="AG20" s="59" t="str">
        <f t="shared" si="5"/>
        <v/>
      </c>
      <c r="AH20" s="59">
        <f t="shared" si="5"/>
        <v>0.30587851989760295</v>
      </c>
      <c r="AI20" s="59">
        <f t="shared" si="5"/>
        <v>0.3219816485133824</v>
      </c>
      <c r="AJ20" s="59" t="str">
        <f t="shared" si="5"/>
        <v/>
      </c>
      <c r="AK20" s="59" t="str">
        <f t="shared" si="5"/>
        <v/>
      </c>
    </row>
    <row r="21" spans="1:37" ht="28.8" x14ac:dyDescent="0.3">
      <c r="B21" t="s">
        <v>457</v>
      </c>
      <c r="C21" s="60" t="s">
        <v>458</v>
      </c>
      <c r="D21" s="60"/>
      <c r="E21" s="61" t="str">
        <f>IFERROR(IF(E9=0,"",IF(E4="","",IF(E9="","",E9/((E3-E4)/365)))),"")</f>
        <v/>
      </c>
      <c r="F21" s="61" t="str">
        <f t="shared" ref="F21:AK21" si="6">IFERROR(IF(F9=0,"",IF(F4="","",IF(F9="","",F9/((F3-F4)/365)))),"")</f>
        <v/>
      </c>
      <c r="G21" s="61">
        <f t="shared" si="6"/>
        <v>24.967433851575247</v>
      </c>
      <c r="H21" s="61">
        <f t="shared" si="6"/>
        <v>38.351557495703801</v>
      </c>
      <c r="I21" s="61">
        <f t="shared" si="6"/>
        <v>38.164762792978841</v>
      </c>
      <c r="J21" s="61">
        <f t="shared" si="6"/>
        <v>22.541313773997842</v>
      </c>
      <c r="K21" s="61">
        <f t="shared" si="6"/>
        <v>31.05861225743574</v>
      </c>
      <c r="L21" s="61" t="str">
        <f t="shared" si="6"/>
        <v/>
      </c>
      <c r="M21" s="61" t="str">
        <f t="shared" si="6"/>
        <v/>
      </c>
      <c r="N21" s="61" t="str">
        <f t="shared" si="6"/>
        <v/>
      </c>
      <c r="O21" s="61" t="str">
        <f t="shared" si="6"/>
        <v/>
      </c>
      <c r="P21" s="61" t="str">
        <f t="shared" si="6"/>
        <v/>
      </c>
      <c r="Q21" s="61" t="str">
        <f t="shared" si="6"/>
        <v/>
      </c>
      <c r="R21" s="61" t="str">
        <f t="shared" si="6"/>
        <v/>
      </c>
      <c r="S21" s="61" t="str">
        <f t="shared" si="6"/>
        <v/>
      </c>
      <c r="T21" s="61" t="str">
        <f t="shared" si="6"/>
        <v/>
      </c>
      <c r="U21" s="61">
        <f t="shared" si="6"/>
        <v>19.193692709884509</v>
      </c>
      <c r="V21" s="61">
        <f t="shared" si="6"/>
        <v>21.150347931399153</v>
      </c>
      <c r="W21" s="61">
        <f t="shared" si="6"/>
        <v>20.0071599193742</v>
      </c>
      <c r="X21" s="61" t="str">
        <f t="shared" si="6"/>
        <v/>
      </c>
      <c r="Y21" s="61" t="str">
        <f t="shared" si="6"/>
        <v/>
      </c>
      <c r="Z21" s="61" t="str">
        <f t="shared" si="6"/>
        <v/>
      </c>
      <c r="AA21" s="61" t="str">
        <f t="shared" si="6"/>
        <v/>
      </c>
      <c r="AB21" s="61" t="str">
        <f t="shared" si="6"/>
        <v/>
      </c>
      <c r="AC21" s="61" t="str">
        <f t="shared" si="6"/>
        <v/>
      </c>
      <c r="AD21" s="61" t="str">
        <f t="shared" si="6"/>
        <v/>
      </c>
      <c r="AE21" s="61" t="str">
        <f t="shared" si="6"/>
        <v/>
      </c>
      <c r="AF21" s="61" t="str">
        <f t="shared" si="6"/>
        <v/>
      </c>
      <c r="AG21" s="61" t="str">
        <f t="shared" si="6"/>
        <v/>
      </c>
      <c r="AH21" s="61">
        <f t="shared" si="6"/>
        <v>5.7744766693962637</v>
      </c>
      <c r="AI21" s="61">
        <f t="shared" si="6"/>
        <v>16.994797658656267</v>
      </c>
      <c r="AJ21" s="61" t="str">
        <f t="shared" si="6"/>
        <v/>
      </c>
      <c r="AK21" s="61" t="str">
        <f t="shared" si="6"/>
        <v/>
      </c>
    </row>
    <row r="22" spans="1:37" ht="28.8" x14ac:dyDescent="0.3">
      <c r="B22" t="s">
        <v>459</v>
      </c>
      <c r="C22" s="60" t="s">
        <v>460</v>
      </c>
      <c r="D22" s="60"/>
      <c r="E22" s="62" t="str">
        <f>IFERROR(IF(E10="","",E10/E11), "")</f>
        <v/>
      </c>
      <c r="F22" s="62" t="str">
        <f t="shared" ref="F22:AK22" si="7">IFERROR(IF(F10="","",F10/F11), "")</f>
        <v/>
      </c>
      <c r="G22" s="62" t="str">
        <f t="shared" si="7"/>
        <v/>
      </c>
      <c r="H22" s="62" t="str">
        <f t="shared" si="7"/>
        <v/>
      </c>
      <c r="I22" s="62" t="str">
        <f t="shared" si="7"/>
        <v/>
      </c>
      <c r="J22" s="62" t="str">
        <f t="shared" si="7"/>
        <v/>
      </c>
      <c r="K22" s="62" t="str">
        <f t="shared" si="7"/>
        <v/>
      </c>
      <c r="L22" s="62" t="str">
        <f t="shared" si="7"/>
        <v/>
      </c>
      <c r="M22" s="62" t="str">
        <f t="shared" si="7"/>
        <v/>
      </c>
      <c r="N22" s="62" t="str">
        <f t="shared" si="7"/>
        <v/>
      </c>
      <c r="O22" s="62" t="str">
        <f t="shared" si="7"/>
        <v/>
      </c>
      <c r="P22" s="62" t="str">
        <f t="shared" si="7"/>
        <v/>
      </c>
      <c r="Q22" s="62" t="str">
        <f t="shared" si="7"/>
        <v/>
      </c>
      <c r="R22" s="62" t="str">
        <f t="shared" si="7"/>
        <v/>
      </c>
      <c r="S22" s="62" t="str">
        <f t="shared" si="7"/>
        <v/>
      </c>
      <c r="T22" s="62" t="str">
        <f t="shared" si="7"/>
        <v/>
      </c>
      <c r="U22" s="62" t="str">
        <f t="shared" si="7"/>
        <v/>
      </c>
      <c r="V22" s="62" t="str">
        <f t="shared" si="7"/>
        <v/>
      </c>
      <c r="W22" s="62" t="str">
        <f t="shared" si="7"/>
        <v/>
      </c>
      <c r="X22" s="62" t="str">
        <f t="shared" si="7"/>
        <v/>
      </c>
      <c r="Y22" s="62" t="str">
        <f t="shared" si="7"/>
        <v/>
      </c>
      <c r="Z22" s="62" t="str">
        <f t="shared" si="7"/>
        <v/>
      </c>
      <c r="AA22" s="62" t="str">
        <f t="shared" si="7"/>
        <v/>
      </c>
      <c r="AB22" s="62" t="str">
        <f t="shared" si="7"/>
        <v/>
      </c>
      <c r="AC22" s="62" t="str">
        <f t="shared" si="7"/>
        <v/>
      </c>
      <c r="AD22" s="62" t="str">
        <f t="shared" si="7"/>
        <v/>
      </c>
      <c r="AE22" s="62" t="str">
        <f t="shared" si="7"/>
        <v/>
      </c>
      <c r="AF22" s="62" t="str">
        <f t="shared" si="7"/>
        <v/>
      </c>
      <c r="AG22" s="62" t="str">
        <f t="shared" si="7"/>
        <v/>
      </c>
      <c r="AH22" s="62" t="str">
        <f t="shared" si="7"/>
        <v/>
      </c>
      <c r="AI22" s="62" t="str">
        <f t="shared" si="7"/>
        <v/>
      </c>
      <c r="AJ22" s="62" t="str">
        <f t="shared" si="7"/>
        <v/>
      </c>
      <c r="AK22" s="62" t="str">
        <f t="shared" si="7"/>
        <v/>
      </c>
    </row>
    <row r="23" spans="1:37" ht="28.8" x14ac:dyDescent="0.3">
      <c r="B23" t="s">
        <v>461</v>
      </c>
      <c r="C23" s="58" t="s">
        <v>462</v>
      </c>
      <c r="D23" s="58"/>
      <c r="E23" s="59" t="str">
        <f>IFERROR(IF(E12=0,"",IF(E13=0,"",E13/(E12-E13))),"")</f>
        <v/>
      </c>
      <c r="F23" s="59" t="str">
        <f t="shared" ref="F23:AK23" si="8">IFERROR(IF(F12=0,"",IF(F13=0,"",F13/(F12-F13))),"")</f>
        <v/>
      </c>
      <c r="G23" s="59">
        <f t="shared" si="8"/>
        <v>1.179499268714542</v>
      </c>
      <c r="H23" s="59">
        <f t="shared" si="8"/>
        <v>1.0107814145844882</v>
      </c>
      <c r="I23" s="59">
        <f t="shared" si="8"/>
        <v>0.86539372132584158</v>
      </c>
      <c r="J23" s="59">
        <f t="shared" si="8"/>
        <v>0.70993826706894503</v>
      </c>
      <c r="K23" s="59">
        <f t="shared" si="8"/>
        <v>0.77230428537734852</v>
      </c>
      <c r="L23" s="59" t="str">
        <f t="shared" si="8"/>
        <v/>
      </c>
      <c r="M23" s="59" t="str">
        <f t="shared" si="8"/>
        <v/>
      </c>
      <c r="N23" s="59" t="str">
        <f t="shared" si="8"/>
        <v/>
      </c>
      <c r="O23" s="59" t="str">
        <f t="shared" si="8"/>
        <v/>
      </c>
      <c r="P23" s="59" t="str">
        <f t="shared" si="8"/>
        <v/>
      </c>
      <c r="Q23" s="59" t="str">
        <f t="shared" si="8"/>
        <v/>
      </c>
      <c r="R23" s="59" t="str">
        <f t="shared" si="8"/>
        <v/>
      </c>
      <c r="S23" s="59" t="str">
        <f t="shared" si="8"/>
        <v/>
      </c>
      <c r="T23" s="59" t="str">
        <f t="shared" si="8"/>
        <v/>
      </c>
      <c r="U23" s="59">
        <f t="shared" si="8"/>
        <v>1.3261507853357473</v>
      </c>
      <c r="V23" s="59">
        <f t="shared" si="8"/>
        <v>1.2229276506543207</v>
      </c>
      <c r="W23" s="59">
        <f t="shared" si="8"/>
        <v>1.1080063831231635</v>
      </c>
      <c r="X23" s="59" t="str">
        <f t="shared" si="8"/>
        <v/>
      </c>
      <c r="Y23" s="59" t="str">
        <f t="shared" si="8"/>
        <v/>
      </c>
      <c r="Z23" s="59" t="str">
        <f t="shared" si="8"/>
        <v/>
      </c>
      <c r="AA23" s="59" t="str">
        <f t="shared" si="8"/>
        <v/>
      </c>
      <c r="AB23" s="59" t="str">
        <f t="shared" si="8"/>
        <v/>
      </c>
      <c r="AC23" s="59" t="str">
        <f t="shared" si="8"/>
        <v/>
      </c>
      <c r="AD23" s="59" t="str">
        <f t="shared" si="8"/>
        <v/>
      </c>
      <c r="AE23" s="59" t="str">
        <f t="shared" si="8"/>
        <v/>
      </c>
      <c r="AF23" s="59" t="str">
        <f t="shared" si="8"/>
        <v/>
      </c>
      <c r="AG23" s="59" t="str">
        <f t="shared" si="8"/>
        <v/>
      </c>
      <c r="AH23" s="59">
        <f t="shared" si="8"/>
        <v>0.4228605089228214</v>
      </c>
      <c r="AI23" s="59">
        <f t="shared" si="8"/>
        <v>0.37984693370458233</v>
      </c>
      <c r="AJ23" s="59" t="str">
        <f t="shared" si="8"/>
        <v/>
      </c>
      <c r="AK23" s="59" t="str">
        <f t="shared" si="8"/>
        <v/>
      </c>
    </row>
    <row r="24" spans="1:37" ht="28.8" x14ac:dyDescent="0.3">
      <c r="A24" t="s">
        <v>463</v>
      </c>
      <c r="B24" t="s">
        <v>464</v>
      </c>
      <c r="C24" s="60" t="s">
        <v>465</v>
      </c>
      <c r="D24" s="60"/>
      <c r="E24" s="63" t="str">
        <f>IFERROR(IF(E10="","",IF(E10=0,"",E10/E4)),"")</f>
        <v/>
      </c>
      <c r="F24" s="63" t="str">
        <f t="shared" ref="F24:AK24" si="9">IFERROR(IF(F10="","",IF(F10=0,"",F10/F4)),"")</f>
        <v/>
      </c>
      <c r="G24" s="63" t="str">
        <f t="shared" si="9"/>
        <v/>
      </c>
      <c r="H24" s="63" t="str">
        <f t="shared" si="9"/>
        <v/>
      </c>
      <c r="I24" s="63" t="str">
        <f t="shared" si="9"/>
        <v/>
      </c>
      <c r="J24" s="63" t="str">
        <f t="shared" si="9"/>
        <v/>
      </c>
      <c r="K24" s="63" t="str">
        <f t="shared" si="9"/>
        <v/>
      </c>
      <c r="L24" s="63" t="str">
        <f t="shared" si="9"/>
        <v/>
      </c>
      <c r="M24" s="63" t="str">
        <f t="shared" si="9"/>
        <v/>
      </c>
      <c r="N24" s="63" t="str">
        <f t="shared" si="9"/>
        <v/>
      </c>
      <c r="O24" s="63" t="str">
        <f t="shared" si="9"/>
        <v/>
      </c>
      <c r="P24" s="63" t="str">
        <f t="shared" si="9"/>
        <v/>
      </c>
      <c r="Q24" s="63" t="str">
        <f t="shared" si="9"/>
        <v/>
      </c>
      <c r="R24" s="63" t="str">
        <f t="shared" si="9"/>
        <v/>
      </c>
      <c r="S24" s="63" t="str">
        <f t="shared" si="9"/>
        <v/>
      </c>
      <c r="T24" s="63" t="str">
        <f t="shared" si="9"/>
        <v/>
      </c>
      <c r="U24" s="63" t="str">
        <f t="shared" si="9"/>
        <v/>
      </c>
      <c r="V24" s="63" t="str">
        <f t="shared" si="9"/>
        <v/>
      </c>
      <c r="W24" s="63" t="str">
        <f t="shared" si="9"/>
        <v/>
      </c>
      <c r="X24" s="63" t="str">
        <f t="shared" si="9"/>
        <v/>
      </c>
      <c r="Y24" s="63" t="str">
        <f t="shared" si="9"/>
        <v/>
      </c>
      <c r="Z24" s="63" t="str">
        <f t="shared" si="9"/>
        <v/>
      </c>
      <c r="AA24" s="63" t="str">
        <f t="shared" si="9"/>
        <v/>
      </c>
      <c r="AB24" s="63" t="str">
        <f t="shared" si="9"/>
        <v/>
      </c>
      <c r="AC24" s="63" t="str">
        <f t="shared" si="9"/>
        <v/>
      </c>
      <c r="AD24" s="63" t="str">
        <f t="shared" si="9"/>
        <v/>
      </c>
      <c r="AE24" s="63" t="str">
        <f t="shared" si="9"/>
        <v/>
      </c>
      <c r="AF24" s="63" t="str">
        <f t="shared" si="9"/>
        <v/>
      </c>
      <c r="AG24" s="63" t="str">
        <f t="shared" si="9"/>
        <v/>
      </c>
      <c r="AH24" s="63" t="str">
        <f t="shared" si="9"/>
        <v/>
      </c>
      <c r="AI24" s="63" t="str">
        <f t="shared" si="9"/>
        <v/>
      </c>
      <c r="AJ24" s="63" t="str">
        <f t="shared" si="9"/>
        <v/>
      </c>
      <c r="AK24" s="63" t="str">
        <f t="shared" si="9"/>
        <v/>
      </c>
    </row>
    <row r="25" spans="1:37" x14ac:dyDescent="0.3">
      <c r="A25" t="s">
        <v>466</v>
      </c>
      <c r="B25" t="s">
        <v>467</v>
      </c>
      <c r="C25" s="58" t="s">
        <v>444</v>
      </c>
      <c r="D25" s="58"/>
      <c r="E25" s="56" t="str">
        <f>IFERROR(IF(E14=0,"",IF(E14&lt;0,"",E14)),"")</f>
        <v/>
      </c>
      <c r="F25" s="56" t="str">
        <f t="shared" ref="F25:AK25" si="10">IFERROR(IF(F14=0,"",IF(F14&lt;0,"",F14)),"")</f>
        <v/>
      </c>
      <c r="G25" s="56"/>
      <c r="H25" s="56">
        <f t="shared" si="10"/>
        <v>713813</v>
      </c>
      <c r="I25" s="56">
        <f t="shared" si="10"/>
        <v>1142891</v>
      </c>
      <c r="J25" s="56">
        <f t="shared" si="10"/>
        <v>2646001</v>
      </c>
      <c r="K25" s="56">
        <f t="shared" si="10"/>
        <v>2633285</v>
      </c>
      <c r="L25" s="56" t="str">
        <f t="shared" si="10"/>
        <v/>
      </c>
      <c r="M25" s="56" t="str">
        <f t="shared" si="10"/>
        <v/>
      </c>
      <c r="N25" s="56" t="str">
        <f t="shared" si="10"/>
        <v/>
      </c>
      <c r="O25" s="56" t="str">
        <f t="shared" si="10"/>
        <v/>
      </c>
      <c r="P25" s="56" t="str">
        <f t="shared" si="10"/>
        <v/>
      </c>
      <c r="Q25" s="56" t="str">
        <f t="shared" si="10"/>
        <v/>
      </c>
      <c r="R25" s="56" t="str">
        <f t="shared" si="10"/>
        <v/>
      </c>
      <c r="S25" s="56" t="str">
        <f t="shared" si="10"/>
        <v/>
      </c>
      <c r="T25" s="56" t="str">
        <f t="shared" si="10"/>
        <v/>
      </c>
      <c r="U25" s="56"/>
      <c r="V25" s="56">
        <f t="shared" si="10"/>
        <v>2321377</v>
      </c>
      <c r="W25" s="56">
        <f t="shared" si="10"/>
        <v>3717758</v>
      </c>
      <c r="X25" s="56" t="str">
        <f t="shared" si="10"/>
        <v/>
      </c>
      <c r="Y25" s="56" t="str">
        <f t="shared" si="10"/>
        <v/>
      </c>
      <c r="Z25" s="56" t="str">
        <f t="shared" si="10"/>
        <v/>
      </c>
      <c r="AA25" s="56" t="str">
        <f t="shared" si="10"/>
        <v/>
      </c>
      <c r="AB25" s="56" t="str">
        <f t="shared" si="10"/>
        <v/>
      </c>
      <c r="AC25" s="56" t="str">
        <f t="shared" si="10"/>
        <v/>
      </c>
      <c r="AD25" s="56" t="str">
        <f t="shared" si="10"/>
        <v/>
      </c>
      <c r="AE25" s="56" t="str">
        <f t="shared" si="10"/>
        <v/>
      </c>
      <c r="AF25" s="56" t="str">
        <f t="shared" si="10"/>
        <v/>
      </c>
      <c r="AG25" s="56" t="str">
        <f t="shared" si="10"/>
        <v/>
      </c>
      <c r="AH25" s="56"/>
      <c r="AI25" s="56">
        <f t="shared" si="10"/>
        <v>15963924</v>
      </c>
      <c r="AJ25" s="56" t="str">
        <f t="shared" si="10"/>
        <v/>
      </c>
      <c r="AK25" s="56" t="str">
        <f t="shared" si="10"/>
        <v/>
      </c>
    </row>
    <row r="26" spans="1:37" ht="28.8" x14ac:dyDescent="0.3">
      <c r="B26" t="s">
        <v>468</v>
      </c>
      <c r="C26" s="58" t="s">
        <v>469</v>
      </c>
      <c r="D26" s="58"/>
      <c r="E26" s="62" t="str">
        <f>IFERROR(IF(E25/E4=0, "",E25/E4),"")</f>
        <v/>
      </c>
      <c r="F26" s="62" t="str">
        <f t="shared" ref="F26:AK26" si="11">IFERROR(IF(F25/F4=0, "",F25/F4),"")</f>
        <v/>
      </c>
      <c r="G26" s="62" t="str">
        <f t="shared" si="11"/>
        <v/>
      </c>
      <c r="H26" s="62">
        <f t="shared" si="11"/>
        <v>2.1376318776259482</v>
      </c>
      <c r="I26" s="62">
        <f t="shared" si="11"/>
        <v>3.0816236285736629</v>
      </c>
      <c r="J26" s="62">
        <f t="shared" si="11"/>
        <v>6.2290065373940351</v>
      </c>
      <c r="K26" s="62">
        <f t="shared" si="11"/>
        <v>5.7738614686342009</v>
      </c>
      <c r="L26" s="62" t="str">
        <f t="shared" si="11"/>
        <v/>
      </c>
      <c r="M26" s="62" t="str">
        <f t="shared" si="11"/>
        <v/>
      </c>
      <c r="N26" s="62" t="str">
        <f t="shared" si="11"/>
        <v/>
      </c>
      <c r="O26" s="62" t="str">
        <f t="shared" si="11"/>
        <v/>
      </c>
      <c r="P26" s="62" t="str">
        <f t="shared" si="11"/>
        <v/>
      </c>
      <c r="Q26" s="62" t="str">
        <f t="shared" si="11"/>
        <v/>
      </c>
      <c r="R26" s="62" t="str">
        <f t="shared" si="11"/>
        <v/>
      </c>
      <c r="S26" s="62" t="str">
        <f t="shared" si="11"/>
        <v/>
      </c>
      <c r="T26" s="62" t="str">
        <f t="shared" si="11"/>
        <v/>
      </c>
      <c r="U26" s="62" t="str">
        <f t="shared" si="11"/>
        <v/>
      </c>
      <c r="V26" s="62">
        <f t="shared" si="11"/>
        <v>1.4826315661736436</v>
      </c>
      <c r="W26" s="62">
        <f t="shared" si="11"/>
        <v>2.3368942175389105</v>
      </c>
      <c r="X26" s="62" t="str">
        <f t="shared" si="11"/>
        <v/>
      </c>
      <c r="Y26" s="62" t="str">
        <f t="shared" si="11"/>
        <v/>
      </c>
      <c r="Z26" s="62" t="str">
        <f t="shared" si="11"/>
        <v/>
      </c>
      <c r="AA26" s="62" t="str">
        <f t="shared" si="11"/>
        <v/>
      </c>
      <c r="AB26" s="62" t="str">
        <f t="shared" si="11"/>
        <v/>
      </c>
      <c r="AC26" s="62" t="str">
        <f t="shared" si="11"/>
        <v/>
      </c>
      <c r="AD26" s="62" t="str">
        <f t="shared" si="11"/>
        <v/>
      </c>
      <c r="AE26" s="62" t="str">
        <f t="shared" si="11"/>
        <v/>
      </c>
      <c r="AF26" s="62" t="str">
        <f t="shared" si="11"/>
        <v/>
      </c>
      <c r="AG26" s="62" t="str">
        <f t="shared" si="11"/>
        <v/>
      </c>
      <c r="AH26" s="62" t="str">
        <f t="shared" si="11"/>
        <v/>
      </c>
      <c r="AI26" s="62">
        <f t="shared" si="11"/>
        <v>8.5140019839788383</v>
      </c>
      <c r="AJ26" s="62" t="str">
        <f t="shared" si="11"/>
        <v/>
      </c>
      <c r="AK26" s="62" t="str">
        <f t="shared" si="11"/>
        <v/>
      </c>
    </row>
    <row r="27" spans="1:37" x14ac:dyDescent="0.3">
      <c r="C27" s="64"/>
      <c r="D27" s="64"/>
    </row>
    <row r="28" spans="1:37" ht="28.8" x14ac:dyDescent="0.3">
      <c r="B28" s="65" t="s">
        <v>470</v>
      </c>
      <c r="C28" s="64"/>
      <c r="D28" s="64"/>
    </row>
    <row r="29" spans="1:37" x14ac:dyDescent="0.3">
      <c r="B29" t="s">
        <v>471</v>
      </c>
      <c r="C29" s="64"/>
      <c r="D29" s="64"/>
    </row>
    <row r="30" spans="1:37" x14ac:dyDescent="0.3">
      <c r="C30" s="64"/>
      <c r="D30" s="64"/>
    </row>
    <row r="31" spans="1:37" x14ac:dyDescent="0.3">
      <c r="C31" s="64"/>
      <c r="D31" s="64"/>
    </row>
    <row r="32" spans="1:37" x14ac:dyDescent="0.3">
      <c r="C32" s="66"/>
      <c r="D32" s="66"/>
    </row>
    <row r="33" spans="3:4" x14ac:dyDescent="0.3">
      <c r="C33" s="66"/>
      <c r="D33" s="66"/>
    </row>
    <row r="34" spans="3:4" x14ac:dyDescent="0.3">
      <c r="C34" s="66"/>
      <c r="D34" s="66"/>
    </row>
    <row r="35" spans="3:4" x14ac:dyDescent="0.3">
      <c r="C35" s="66"/>
      <c r="D35" s="66"/>
    </row>
    <row r="36" spans="3:4" x14ac:dyDescent="0.3">
      <c r="C36" s="66"/>
      <c r="D36" s="66"/>
    </row>
    <row r="37" spans="3:4" x14ac:dyDescent="0.3">
      <c r="C37" s="66"/>
      <c r="D37" s="66"/>
    </row>
    <row r="38" spans="3:4" x14ac:dyDescent="0.3">
      <c r="C38" s="66"/>
      <c r="D38" s="66"/>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37"/>
  <sheetViews>
    <sheetView workbookViewId="0">
      <pane ySplit="1" topLeftCell="A2" activePane="bottomLeft" state="frozen"/>
      <selection activeCell="E1" sqref="E1"/>
      <selection pane="bottomLeft" activeCell="D2" sqref="D2"/>
    </sheetView>
  </sheetViews>
  <sheetFormatPr defaultColWidth="8.88671875" defaultRowHeight="14.4" x14ac:dyDescent="0.3"/>
  <cols>
    <col min="1" max="1" width="10.109375" style="1" bestFit="1" customWidth="1"/>
    <col min="2" max="2" width="27.88671875" style="1" bestFit="1" customWidth="1"/>
    <col min="3" max="3" width="8.88671875" style="1"/>
    <col min="4" max="4" width="9.88671875" style="1" bestFit="1" customWidth="1"/>
    <col min="5" max="5" width="14.88671875" style="1" bestFit="1" customWidth="1"/>
    <col min="6" max="6" width="11.33203125" style="1" bestFit="1" customWidth="1"/>
    <col min="7" max="7" width="8.88671875" style="1"/>
    <col min="8" max="8" width="15.33203125" style="1" bestFit="1" customWidth="1"/>
    <col min="9" max="9" width="10.44140625" style="1" bestFit="1" customWidth="1"/>
    <col min="10" max="10" width="15.88671875" style="1" bestFit="1" customWidth="1"/>
    <col min="11" max="11" width="8.88671875" style="1"/>
    <col min="12" max="12" width="13.6640625" style="1" bestFit="1" customWidth="1"/>
    <col min="13" max="16384" width="8.88671875" style="1"/>
  </cols>
  <sheetData>
    <row r="1" spans="1:14" x14ac:dyDescent="0.3">
      <c r="A1" s="2" t="s">
        <v>17</v>
      </c>
      <c r="B1" s="2" t="s">
        <v>18</v>
      </c>
      <c r="C1" s="2" t="s">
        <v>19</v>
      </c>
      <c r="D1" s="2" t="s">
        <v>49</v>
      </c>
      <c r="E1" s="2" t="s">
        <v>50</v>
      </c>
      <c r="F1" s="2" t="s">
        <v>51</v>
      </c>
      <c r="G1" s="2" t="s">
        <v>52</v>
      </c>
      <c r="H1" s="5" t="s">
        <v>53</v>
      </c>
      <c r="I1" s="2" t="s">
        <v>54</v>
      </c>
      <c r="J1" s="2" t="s">
        <v>55</v>
      </c>
      <c r="K1" s="2" t="s">
        <v>56</v>
      </c>
      <c r="L1" s="2" t="s">
        <v>57</v>
      </c>
      <c r="M1" s="2" t="s">
        <v>58</v>
      </c>
    </row>
    <row r="2" spans="1:14" x14ac:dyDescent="0.3">
      <c r="A2" t="s">
        <v>37</v>
      </c>
      <c r="B2" t="s">
        <v>38</v>
      </c>
      <c r="C2" s="1">
        <v>1992</v>
      </c>
      <c r="D2" s="1" t="s">
        <v>42</v>
      </c>
      <c r="E2" s="1" t="s">
        <v>59</v>
      </c>
      <c r="F2" s="1">
        <v>1994</v>
      </c>
      <c r="G2" s="1" t="s">
        <v>60</v>
      </c>
      <c r="H2" s="1">
        <v>285000</v>
      </c>
      <c r="I2" s="1">
        <v>3.2</v>
      </c>
      <c r="J2" s="1">
        <f>13250000-H2</f>
        <v>12965000</v>
      </c>
      <c r="K2" s="1" t="s">
        <v>47</v>
      </c>
      <c r="L2" s="1">
        <v>3.2</v>
      </c>
      <c r="N2" s="1" t="s">
        <v>47</v>
      </c>
    </row>
    <row r="3" spans="1:14" x14ac:dyDescent="0.3">
      <c r="A3" t="s">
        <v>37</v>
      </c>
      <c r="B3" t="s">
        <v>38</v>
      </c>
      <c r="C3" s="1">
        <v>1992</v>
      </c>
      <c r="E3" s="1" t="s">
        <v>59</v>
      </c>
      <c r="F3" s="1">
        <v>1995</v>
      </c>
      <c r="G3" s="1" t="s">
        <v>60</v>
      </c>
      <c r="H3" s="1">
        <v>295000</v>
      </c>
      <c r="I3" s="1">
        <v>3.75</v>
      </c>
      <c r="J3" s="1">
        <f>J2-H3</f>
        <v>12670000</v>
      </c>
      <c r="K3" s="1" t="s">
        <v>47</v>
      </c>
      <c r="L3" s="1">
        <v>3.75</v>
      </c>
      <c r="N3" s="1" t="s">
        <v>47</v>
      </c>
    </row>
    <row r="4" spans="1:14" x14ac:dyDescent="0.3">
      <c r="A4" t="s">
        <v>37</v>
      </c>
      <c r="B4" t="s">
        <v>38</v>
      </c>
      <c r="C4" s="1">
        <v>1992</v>
      </c>
      <c r="E4" s="1" t="s">
        <v>59</v>
      </c>
      <c r="F4" s="1">
        <v>1996</v>
      </c>
      <c r="G4" s="1" t="s">
        <v>60</v>
      </c>
      <c r="H4" s="1">
        <v>310000</v>
      </c>
      <c r="I4" s="1">
        <v>4</v>
      </c>
      <c r="J4" s="1">
        <f>J3-H4</f>
        <v>12360000</v>
      </c>
      <c r="K4" s="1" t="s">
        <v>47</v>
      </c>
      <c r="L4" s="1">
        <v>4</v>
      </c>
      <c r="N4" s="1" t="s">
        <v>47</v>
      </c>
    </row>
    <row r="5" spans="1:14" x14ac:dyDescent="0.3">
      <c r="A5" t="s">
        <v>37</v>
      </c>
      <c r="B5" t="s">
        <v>38</v>
      </c>
      <c r="C5" s="1">
        <v>1992</v>
      </c>
      <c r="E5" s="1" t="s">
        <v>59</v>
      </c>
      <c r="F5" s="1">
        <v>1997</v>
      </c>
      <c r="G5" s="1" t="s">
        <v>60</v>
      </c>
      <c r="H5" s="1">
        <v>320000</v>
      </c>
      <c r="I5" s="1">
        <v>4.3</v>
      </c>
      <c r="J5" s="1">
        <f t="shared" ref="J5:J25" si="0">J4-H5</f>
        <v>12040000</v>
      </c>
      <c r="K5" s="1" t="s">
        <v>47</v>
      </c>
      <c r="L5" s="1">
        <v>4.3</v>
      </c>
      <c r="N5" s="1" t="s">
        <v>47</v>
      </c>
    </row>
    <row r="6" spans="1:14" x14ac:dyDescent="0.3">
      <c r="A6" t="s">
        <v>37</v>
      </c>
      <c r="B6" t="s">
        <v>38</v>
      </c>
      <c r="C6" s="1">
        <v>1992</v>
      </c>
      <c r="E6" s="1" t="s">
        <v>59</v>
      </c>
      <c r="F6" s="1">
        <v>1998</v>
      </c>
      <c r="G6" s="1" t="s">
        <v>60</v>
      </c>
      <c r="H6" s="1">
        <v>335000</v>
      </c>
      <c r="I6" s="1">
        <v>4.5999999999999996</v>
      </c>
      <c r="J6" s="1">
        <f t="shared" si="0"/>
        <v>11705000</v>
      </c>
      <c r="K6" s="1" t="s">
        <v>47</v>
      </c>
      <c r="L6" s="1">
        <v>4.5999999999999996</v>
      </c>
      <c r="N6" s="1" t="s">
        <v>47</v>
      </c>
    </row>
    <row r="7" spans="1:14" x14ac:dyDescent="0.3">
      <c r="A7" t="s">
        <v>37</v>
      </c>
      <c r="B7" t="s">
        <v>38</v>
      </c>
      <c r="C7" s="1">
        <v>1992</v>
      </c>
      <c r="E7" s="1" t="s">
        <v>59</v>
      </c>
      <c r="F7" s="1">
        <v>1999</v>
      </c>
      <c r="G7" s="1" t="s">
        <v>60</v>
      </c>
      <c r="H7" s="1">
        <v>350000</v>
      </c>
      <c r="I7" s="1">
        <v>4.8499999999999996</v>
      </c>
      <c r="J7" s="1">
        <f t="shared" si="0"/>
        <v>11355000</v>
      </c>
      <c r="K7" s="1" t="s">
        <v>47</v>
      </c>
      <c r="L7" s="1">
        <v>4.8499999999999996</v>
      </c>
      <c r="N7" s="1" t="s">
        <v>47</v>
      </c>
    </row>
    <row r="8" spans="1:14" x14ac:dyDescent="0.3">
      <c r="A8" t="s">
        <v>37</v>
      </c>
      <c r="B8" t="s">
        <v>38</v>
      </c>
      <c r="C8" s="1">
        <v>1992</v>
      </c>
      <c r="E8" s="1" t="s">
        <v>59</v>
      </c>
      <c r="F8" s="1">
        <v>2000</v>
      </c>
      <c r="G8" s="1" t="s">
        <v>60</v>
      </c>
      <c r="H8" s="1">
        <v>370000</v>
      </c>
      <c r="I8" s="1">
        <v>5</v>
      </c>
      <c r="J8" s="1">
        <f t="shared" si="0"/>
        <v>10985000</v>
      </c>
      <c r="K8" s="1" t="s">
        <v>47</v>
      </c>
      <c r="L8" s="1">
        <v>5</v>
      </c>
      <c r="N8" s="1" t="s">
        <v>47</v>
      </c>
    </row>
    <row r="9" spans="1:14" x14ac:dyDescent="0.3">
      <c r="A9" t="s">
        <v>37</v>
      </c>
      <c r="B9" t="s">
        <v>38</v>
      </c>
      <c r="C9" s="1">
        <v>1992</v>
      </c>
      <c r="E9" s="1" t="s">
        <v>59</v>
      </c>
      <c r="F9" s="1">
        <v>2001</v>
      </c>
      <c r="G9" s="1" t="s">
        <v>60</v>
      </c>
      <c r="H9" s="1">
        <v>390000</v>
      </c>
      <c r="I9" s="1">
        <v>5.25</v>
      </c>
      <c r="J9" s="1">
        <f t="shared" si="0"/>
        <v>10595000</v>
      </c>
      <c r="K9" s="1" t="s">
        <v>47</v>
      </c>
      <c r="L9" s="1">
        <v>5.25</v>
      </c>
      <c r="N9" s="1" t="s">
        <v>47</v>
      </c>
    </row>
    <row r="10" spans="1:14" x14ac:dyDescent="0.3">
      <c r="A10" t="s">
        <v>37</v>
      </c>
      <c r="B10" t="s">
        <v>38</v>
      </c>
      <c r="C10" s="1">
        <v>1992</v>
      </c>
      <c r="E10" s="1" t="s">
        <v>59</v>
      </c>
      <c r="F10" s="1">
        <v>2002</v>
      </c>
      <c r="G10" s="1" t="s">
        <v>60</v>
      </c>
      <c r="H10" s="1">
        <v>410000</v>
      </c>
      <c r="I10" s="1">
        <v>5.3</v>
      </c>
      <c r="J10" s="1">
        <f t="shared" si="0"/>
        <v>10185000</v>
      </c>
      <c r="K10" s="1" t="s">
        <v>47</v>
      </c>
      <c r="L10" s="1">
        <v>5.35</v>
      </c>
      <c r="N10" s="1" t="s">
        <v>47</v>
      </c>
    </row>
    <row r="11" spans="1:14" x14ac:dyDescent="0.3">
      <c r="A11" t="s">
        <v>37</v>
      </c>
      <c r="B11" t="s">
        <v>38</v>
      </c>
      <c r="C11" s="1">
        <v>1992</v>
      </c>
      <c r="E11" s="1" t="s">
        <v>59</v>
      </c>
      <c r="F11" s="1">
        <v>2003</v>
      </c>
      <c r="G11" s="1" t="s">
        <v>60</v>
      </c>
      <c r="H11" s="1">
        <v>435000</v>
      </c>
      <c r="I11" s="1">
        <v>5.5</v>
      </c>
      <c r="J11" s="1">
        <f t="shared" si="0"/>
        <v>9750000</v>
      </c>
      <c r="K11" s="1" t="s">
        <v>47</v>
      </c>
      <c r="L11" s="1">
        <v>5.55</v>
      </c>
      <c r="N11" s="1" t="s">
        <v>47</v>
      </c>
    </row>
    <row r="12" spans="1:14" x14ac:dyDescent="0.3">
      <c r="A12" t="s">
        <v>37</v>
      </c>
      <c r="B12" t="s">
        <v>38</v>
      </c>
      <c r="C12" s="1">
        <v>1992</v>
      </c>
      <c r="E12" s="1" t="s">
        <v>59</v>
      </c>
      <c r="F12" s="1">
        <v>2004</v>
      </c>
      <c r="G12" s="1" t="s">
        <v>60</v>
      </c>
      <c r="H12" s="1">
        <v>460000</v>
      </c>
      <c r="I12" s="1">
        <v>5.6</v>
      </c>
      <c r="J12" s="1">
        <f t="shared" si="0"/>
        <v>9290000</v>
      </c>
      <c r="K12" s="1" t="s">
        <v>47</v>
      </c>
      <c r="L12" s="1">
        <v>5.7</v>
      </c>
      <c r="N12" s="1" t="s">
        <v>47</v>
      </c>
    </row>
    <row r="13" spans="1:14" x14ac:dyDescent="0.3">
      <c r="A13" t="s">
        <v>37</v>
      </c>
      <c r="B13" t="s">
        <v>38</v>
      </c>
      <c r="C13" s="1">
        <v>1992</v>
      </c>
      <c r="E13" s="1" t="s">
        <v>59</v>
      </c>
      <c r="F13" s="1">
        <v>2005</v>
      </c>
      <c r="G13" s="1" t="s">
        <v>60</v>
      </c>
      <c r="H13" s="1">
        <v>485000</v>
      </c>
      <c r="I13" s="1">
        <v>5.75</v>
      </c>
      <c r="J13" s="1">
        <f t="shared" si="0"/>
        <v>8805000</v>
      </c>
      <c r="K13" s="1" t="s">
        <v>47</v>
      </c>
      <c r="L13" s="1">
        <v>5.85</v>
      </c>
      <c r="N13" s="1" t="s">
        <v>47</v>
      </c>
    </row>
    <row r="14" spans="1:14" x14ac:dyDescent="0.3">
      <c r="A14" t="s">
        <v>37</v>
      </c>
      <c r="B14" t="s">
        <v>38</v>
      </c>
      <c r="C14" s="1">
        <v>1992</v>
      </c>
      <c r="E14" s="1" t="s">
        <v>59</v>
      </c>
      <c r="F14" s="1">
        <v>2006</v>
      </c>
      <c r="G14" s="1" t="s">
        <v>60</v>
      </c>
      <c r="H14" s="1">
        <v>515000</v>
      </c>
      <c r="I14" s="1">
        <v>6</v>
      </c>
      <c r="J14" s="1">
        <f t="shared" si="0"/>
        <v>8290000</v>
      </c>
      <c r="K14" s="1" t="s">
        <v>47</v>
      </c>
      <c r="L14" s="1">
        <v>6</v>
      </c>
      <c r="N14" s="1" t="s">
        <v>47</v>
      </c>
    </row>
    <row r="15" spans="1:14" x14ac:dyDescent="0.3">
      <c r="A15" t="s">
        <v>37</v>
      </c>
      <c r="B15" t="s">
        <v>38</v>
      </c>
      <c r="C15" s="1">
        <v>1992</v>
      </c>
      <c r="E15" s="1" t="s">
        <v>59</v>
      </c>
      <c r="F15" s="1">
        <v>2007</v>
      </c>
      <c r="G15" s="1" t="s">
        <v>60</v>
      </c>
      <c r="H15" s="1">
        <v>545000</v>
      </c>
      <c r="I15" s="1">
        <v>6</v>
      </c>
      <c r="J15" s="1">
        <f t="shared" si="0"/>
        <v>7745000</v>
      </c>
      <c r="K15" s="1" t="s">
        <v>47</v>
      </c>
      <c r="L15" s="1">
        <v>6.05</v>
      </c>
      <c r="N15" s="1" t="s">
        <v>47</v>
      </c>
    </row>
    <row r="16" spans="1:14" x14ac:dyDescent="0.3">
      <c r="A16" t="s">
        <v>37</v>
      </c>
      <c r="B16" t="s">
        <v>38</v>
      </c>
      <c r="C16" s="1">
        <v>1992</v>
      </c>
      <c r="E16" s="1" t="s">
        <v>59</v>
      </c>
      <c r="F16" s="1">
        <v>2008</v>
      </c>
      <c r="G16" s="1" t="s">
        <v>60</v>
      </c>
      <c r="H16" s="1">
        <v>580000</v>
      </c>
      <c r="I16" s="1">
        <v>6</v>
      </c>
      <c r="J16" s="1">
        <f t="shared" si="0"/>
        <v>7165000</v>
      </c>
      <c r="K16" s="1" t="s">
        <v>47</v>
      </c>
      <c r="L16" s="1">
        <v>6.05</v>
      </c>
      <c r="N16" s="1" t="s">
        <v>47</v>
      </c>
    </row>
    <row r="17" spans="1:14" x14ac:dyDescent="0.3">
      <c r="A17" t="s">
        <v>37</v>
      </c>
      <c r="B17" t="s">
        <v>38</v>
      </c>
      <c r="C17" s="1">
        <v>1992</v>
      </c>
      <c r="E17" s="1" t="s">
        <v>61</v>
      </c>
      <c r="F17" s="1">
        <v>2009</v>
      </c>
      <c r="G17" s="1" t="s">
        <v>60</v>
      </c>
      <c r="H17" s="1">
        <v>615000</v>
      </c>
      <c r="I17" s="1">
        <v>6.125</v>
      </c>
      <c r="J17" s="1">
        <f t="shared" si="0"/>
        <v>6550000</v>
      </c>
      <c r="K17" s="1" t="s">
        <v>47</v>
      </c>
      <c r="L17" s="1">
        <v>6.2</v>
      </c>
      <c r="N17" s="1" t="s">
        <v>47</v>
      </c>
    </row>
    <row r="18" spans="1:14" x14ac:dyDescent="0.3">
      <c r="A18" t="s">
        <v>37</v>
      </c>
      <c r="B18" t="s">
        <v>38</v>
      </c>
      <c r="C18" s="1">
        <v>1992</v>
      </c>
      <c r="E18" s="1" t="s">
        <v>61</v>
      </c>
      <c r="F18" s="1">
        <v>2010</v>
      </c>
      <c r="G18" s="1" t="s">
        <v>60</v>
      </c>
      <c r="H18" s="1">
        <v>655000</v>
      </c>
      <c r="I18" s="1">
        <v>6.125</v>
      </c>
      <c r="J18" s="1">
        <f t="shared" si="0"/>
        <v>5895000</v>
      </c>
      <c r="K18" s="1" t="s">
        <v>47</v>
      </c>
      <c r="L18" s="1">
        <v>6.2</v>
      </c>
      <c r="N18" s="1" t="s">
        <v>47</v>
      </c>
    </row>
    <row r="19" spans="1:14" x14ac:dyDescent="0.3">
      <c r="A19" t="s">
        <v>37</v>
      </c>
      <c r="B19" t="s">
        <v>38</v>
      </c>
      <c r="C19" s="1">
        <v>1992</v>
      </c>
      <c r="E19" s="1" t="s">
        <v>61</v>
      </c>
      <c r="F19" s="1">
        <v>2011</v>
      </c>
      <c r="G19" s="1" t="s">
        <v>60</v>
      </c>
      <c r="H19" s="1">
        <v>695000</v>
      </c>
      <c r="I19" s="1">
        <v>6.125</v>
      </c>
      <c r="J19" s="1">
        <f t="shared" si="0"/>
        <v>5200000</v>
      </c>
      <c r="K19" s="1" t="s">
        <v>47</v>
      </c>
      <c r="L19" s="1">
        <v>6.2</v>
      </c>
      <c r="N19" s="1" t="s">
        <v>47</v>
      </c>
    </row>
    <row r="20" spans="1:14" x14ac:dyDescent="0.3">
      <c r="A20" t="s">
        <v>37</v>
      </c>
      <c r="B20" t="s">
        <v>38</v>
      </c>
      <c r="C20" s="1">
        <v>1992</v>
      </c>
      <c r="E20" s="1" t="s">
        <v>61</v>
      </c>
      <c r="F20" s="1">
        <v>2012</v>
      </c>
      <c r="G20" s="1" t="s">
        <v>60</v>
      </c>
      <c r="H20" s="1">
        <v>740000</v>
      </c>
      <c r="I20" s="1">
        <v>6.125</v>
      </c>
      <c r="J20" s="1">
        <f t="shared" si="0"/>
        <v>4460000</v>
      </c>
      <c r="K20" s="1" t="s">
        <v>47</v>
      </c>
      <c r="L20" s="1">
        <v>6.25</v>
      </c>
      <c r="N20" s="1" t="s">
        <v>47</v>
      </c>
    </row>
    <row r="21" spans="1:14" x14ac:dyDescent="0.3">
      <c r="A21" t="s">
        <v>37</v>
      </c>
      <c r="B21" t="s">
        <v>38</v>
      </c>
      <c r="C21" s="1">
        <v>1992</v>
      </c>
      <c r="E21" s="1" t="s">
        <v>61</v>
      </c>
      <c r="F21" s="1">
        <v>2013</v>
      </c>
      <c r="G21" s="1" t="s">
        <v>60</v>
      </c>
      <c r="H21" s="1">
        <v>785000</v>
      </c>
      <c r="I21" s="1">
        <v>6.125</v>
      </c>
      <c r="J21" s="1">
        <f t="shared" si="0"/>
        <v>3675000</v>
      </c>
      <c r="K21" s="1" t="s">
        <v>47</v>
      </c>
      <c r="L21" s="1">
        <v>6.25</v>
      </c>
      <c r="N21" s="1" t="s">
        <v>47</v>
      </c>
    </row>
    <row r="22" spans="1:14" x14ac:dyDescent="0.3">
      <c r="A22" t="s">
        <v>37</v>
      </c>
      <c r="B22" t="s">
        <v>38</v>
      </c>
      <c r="C22" s="1">
        <v>1992</v>
      </c>
      <c r="E22" s="1" t="s">
        <v>61</v>
      </c>
      <c r="F22" s="1">
        <v>2014</v>
      </c>
      <c r="G22" s="1" t="s">
        <v>60</v>
      </c>
      <c r="H22" s="1">
        <v>835000</v>
      </c>
      <c r="I22" s="1">
        <v>6.125</v>
      </c>
      <c r="J22" s="1">
        <f t="shared" si="0"/>
        <v>2840000</v>
      </c>
      <c r="K22" s="1" t="s">
        <v>47</v>
      </c>
      <c r="L22" s="1">
        <v>6.25</v>
      </c>
      <c r="N22" s="1" t="s">
        <v>47</v>
      </c>
    </row>
    <row r="23" spans="1:14" x14ac:dyDescent="0.3">
      <c r="A23" t="s">
        <v>37</v>
      </c>
      <c r="B23" t="s">
        <v>38</v>
      </c>
      <c r="C23" s="1">
        <v>1992</v>
      </c>
      <c r="E23" s="1" t="s">
        <v>61</v>
      </c>
      <c r="F23" s="1">
        <v>2015</v>
      </c>
      <c r="G23" s="1" t="s">
        <v>60</v>
      </c>
      <c r="H23" s="1">
        <v>890000</v>
      </c>
      <c r="I23" s="1">
        <v>6.125</v>
      </c>
      <c r="J23" s="1">
        <f t="shared" si="0"/>
        <v>1950000</v>
      </c>
      <c r="K23" s="1" t="s">
        <v>47</v>
      </c>
      <c r="L23" s="1">
        <v>6.25</v>
      </c>
      <c r="N23" s="1" t="s">
        <v>47</v>
      </c>
    </row>
    <row r="24" spans="1:14" x14ac:dyDescent="0.3">
      <c r="A24" t="s">
        <v>37</v>
      </c>
      <c r="B24" t="s">
        <v>38</v>
      </c>
      <c r="C24" s="1">
        <v>1992</v>
      </c>
      <c r="E24" s="1" t="s">
        <v>61</v>
      </c>
      <c r="F24" s="1">
        <v>2016</v>
      </c>
      <c r="G24" s="1" t="s">
        <v>60</v>
      </c>
      <c r="H24" s="1">
        <v>945000</v>
      </c>
      <c r="I24" s="1">
        <v>6.125</v>
      </c>
      <c r="J24" s="1">
        <f t="shared" si="0"/>
        <v>1005000</v>
      </c>
      <c r="K24" s="1" t="s">
        <v>47</v>
      </c>
      <c r="L24" s="1">
        <v>6.25</v>
      </c>
      <c r="N24" s="1" t="s">
        <v>47</v>
      </c>
    </row>
    <row r="25" spans="1:14" x14ac:dyDescent="0.3">
      <c r="A25" t="s">
        <v>37</v>
      </c>
      <c r="B25" t="s">
        <v>38</v>
      </c>
      <c r="C25" s="1">
        <v>1992</v>
      </c>
      <c r="E25" s="1" t="s">
        <v>61</v>
      </c>
      <c r="F25" s="1">
        <v>2017</v>
      </c>
      <c r="G25" s="1" t="s">
        <v>60</v>
      </c>
      <c r="H25" s="26">
        <v>1005000</v>
      </c>
      <c r="I25" s="1">
        <v>6.125</v>
      </c>
      <c r="J25" s="1">
        <f t="shared" si="0"/>
        <v>0</v>
      </c>
      <c r="K25" s="1" t="s">
        <v>47</v>
      </c>
      <c r="L25" s="1">
        <v>6.25</v>
      </c>
      <c r="N25" s="1" t="s">
        <v>47</v>
      </c>
    </row>
    <row r="26" spans="1:14" x14ac:dyDescent="0.3">
      <c r="A26" t="s">
        <v>37</v>
      </c>
      <c r="B26" t="s">
        <v>38</v>
      </c>
      <c r="C26" s="1">
        <v>2006</v>
      </c>
      <c r="E26" s="1" t="s">
        <v>62</v>
      </c>
      <c r="F26" s="1">
        <v>2006</v>
      </c>
      <c r="G26" s="1" t="s">
        <v>60</v>
      </c>
      <c r="H26" s="27">
        <v>350000</v>
      </c>
      <c r="I26" s="1">
        <v>4.5</v>
      </c>
      <c r="J26" s="27">
        <f>9000000-H26</f>
        <v>8650000</v>
      </c>
      <c r="K26" s="1" t="s">
        <v>47</v>
      </c>
      <c r="L26" s="1">
        <v>3.125</v>
      </c>
      <c r="N26" s="1">
        <v>100.31699999999999</v>
      </c>
    </row>
    <row r="27" spans="1:14" x14ac:dyDescent="0.3">
      <c r="A27" t="s">
        <v>37</v>
      </c>
      <c r="B27" t="s">
        <v>38</v>
      </c>
      <c r="C27" s="1">
        <v>2006</v>
      </c>
      <c r="E27" s="1" t="s">
        <v>62</v>
      </c>
      <c r="F27" s="1">
        <v>2007</v>
      </c>
      <c r="G27" s="1" t="s">
        <v>60</v>
      </c>
      <c r="H27" s="1">
        <v>610000</v>
      </c>
      <c r="I27" s="1">
        <v>4.5</v>
      </c>
      <c r="J27" s="27">
        <f>J26-H27</f>
        <v>8040000</v>
      </c>
      <c r="K27" s="1" t="s">
        <v>47</v>
      </c>
      <c r="L27" s="1">
        <v>3.18</v>
      </c>
      <c r="N27" s="1">
        <v>101.586</v>
      </c>
    </row>
    <row r="28" spans="1:14" x14ac:dyDescent="0.3">
      <c r="A28" t="s">
        <v>37</v>
      </c>
      <c r="B28" t="s">
        <v>38</v>
      </c>
      <c r="C28" s="1">
        <v>2006</v>
      </c>
      <c r="E28" s="1" t="s">
        <v>62</v>
      </c>
      <c r="F28" s="1">
        <v>2008</v>
      </c>
      <c r="G28" s="1" t="s">
        <v>60</v>
      </c>
      <c r="H28" s="1">
        <v>640000</v>
      </c>
      <c r="I28" s="1">
        <v>5</v>
      </c>
      <c r="J28" s="27">
        <f t="shared" ref="J28:J37" si="1">J27-H28</f>
        <v>7400000</v>
      </c>
      <c r="K28" s="1" t="s">
        <v>47</v>
      </c>
      <c r="L28" s="1">
        <v>3.25</v>
      </c>
      <c r="N28" s="1">
        <v>103.744</v>
      </c>
    </row>
    <row r="29" spans="1:14" x14ac:dyDescent="0.3">
      <c r="A29" t="s">
        <v>37</v>
      </c>
      <c r="B29" t="s">
        <v>38</v>
      </c>
      <c r="C29" s="1">
        <v>2006</v>
      </c>
      <c r="E29" s="1" t="s">
        <v>62</v>
      </c>
      <c r="F29" s="1">
        <v>2009</v>
      </c>
      <c r="G29" s="1" t="s">
        <v>60</v>
      </c>
      <c r="H29" s="1">
        <v>670000</v>
      </c>
      <c r="I29" s="1">
        <v>5</v>
      </c>
      <c r="J29" s="27">
        <f t="shared" si="1"/>
        <v>6730000</v>
      </c>
      <c r="K29" s="1" t="s">
        <v>47</v>
      </c>
      <c r="L29" s="1">
        <v>3.33</v>
      </c>
      <c r="N29" s="1">
        <v>105.08199999999999</v>
      </c>
    </row>
    <row r="30" spans="1:14" x14ac:dyDescent="0.3">
      <c r="A30" t="s">
        <v>37</v>
      </c>
      <c r="B30" t="s">
        <v>38</v>
      </c>
      <c r="C30" s="1">
        <v>2006</v>
      </c>
      <c r="E30" s="1" t="s">
        <v>62</v>
      </c>
      <c r="F30" s="1">
        <v>2010</v>
      </c>
      <c r="G30" s="1" t="s">
        <v>60</v>
      </c>
      <c r="H30" s="1">
        <v>710000</v>
      </c>
      <c r="I30" s="1">
        <v>5</v>
      </c>
      <c r="J30" s="27">
        <f t="shared" si="1"/>
        <v>6020000</v>
      </c>
      <c r="K30" s="1" t="s">
        <v>47</v>
      </c>
      <c r="L30" s="1">
        <v>3.44</v>
      </c>
      <c r="N30" s="1">
        <v>106.099</v>
      </c>
    </row>
    <row r="31" spans="1:14" x14ac:dyDescent="0.3">
      <c r="A31" t="s">
        <v>37</v>
      </c>
      <c r="B31" t="s">
        <v>38</v>
      </c>
      <c r="C31" s="1">
        <v>2006</v>
      </c>
      <c r="E31" s="1" t="s">
        <v>62</v>
      </c>
      <c r="F31" s="1">
        <v>2011</v>
      </c>
      <c r="G31" s="1" t="s">
        <v>60</v>
      </c>
      <c r="H31" s="1">
        <v>745000</v>
      </c>
      <c r="I31" s="1">
        <v>5</v>
      </c>
      <c r="J31" s="27">
        <f t="shared" si="1"/>
        <v>5275000</v>
      </c>
      <c r="K31" s="1" t="s">
        <v>47</v>
      </c>
      <c r="L31" s="1">
        <v>3.53</v>
      </c>
      <c r="N31" s="1">
        <v>106.96899999999999</v>
      </c>
    </row>
    <row r="32" spans="1:14" x14ac:dyDescent="0.3">
      <c r="A32" t="s">
        <v>37</v>
      </c>
      <c r="B32" t="s">
        <v>38</v>
      </c>
      <c r="C32" s="1">
        <v>2006</v>
      </c>
      <c r="E32" s="1" t="s">
        <v>62</v>
      </c>
      <c r="F32" s="1">
        <v>2012</v>
      </c>
      <c r="G32" s="1" t="s">
        <v>60</v>
      </c>
      <c r="H32" s="1">
        <v>785000</v>
      </c>
      <c r="I32" s="1">
        <v>5</v>
      </c>
      <c r="J32" s="27">
        <f t="shared" si="1"/>
        <v>4490000</v>
      </c>
      <c r="K32" s="1" t="s">
        <v>47</v>
      </c>
      <c r="L32" s="1">
        <v>3.62</v>
      </c>
      <c r="N32" s="1">
        <v>107.639</v>
      </c>
    </row>
    <row r="33" spans="1:14" x14ac:dyDescent="0.3">
      <c r="A33" t="s">
        <v>37</v>
      </c>
      <c r="B33" t="s">
        <v>38</v>
      </c>
      <c r="C33" s="1">
        <v>2006</v>
      </c>
      <c r="E33" s="1" t="s">
        <v>62</v>
      </c>
      <c r="F33" s="1">
        <v>2013</v>
      </c>
      <c r="G33" s="1" t="s">
        <v>60</v>
      </c>
      <c r="H33" s="1">
        <v>820000</v>
      </c>
      <c r="I33" s="1">
        <v>5</v>
      </c>
      <c r="J33" s="27">
        <f t="shared" si="1"/>
        <v>3670000</v>
      </c>
      <c r="K33" s="1" t="s">
        <v>47</v>
      </c>
      <c r="L33" s="1">
        <v>3.71</v>
      </c>
      <c r="N33" s="1">
        <v>108.11799999999999</v>
      </c>
    </row>
    <row r="34" spans="1:14" x14ac:dyDescent="0.3">
      <c r="A34" t="s">
        <v>37</v>
      </c>
      <c r="B34" t="s">
        <v>38</v>
      </c>
      <c r="C34" s="1">
        <v>2006</v>
      </c>
      <c r="E34" s="1" t="s">
        <v>62</v>
      </c>
      <c r="F34" s="1">
        <v>2014</v>
      </c>
      <c r="G34" s="1" t="s">
        <v>60</v>
      </c>
      <c r="H34" s="1">
        <v>865000</v>
      </c>
      <c r="I34" s="1">
        <v>5</v>
      </c>
      <c r="J34" s="27">
        <f t="shared" si="1"/>
        <v>2805000</v>
      </c>
      <c r="K34" s="1" t="s">
        <v>47</v>
      </c>
      <c r="L34" s="1">
        <v>3.79</v>
      </c>
      <c r="N34" s="1">
        <v>108.488</v>
      </c>
    </row>
    <row r="35" spans="1:14" x14ac:dyDescent="0.3">
      <c r="A35" t="s">
        <v>37</v>
      </c>
      <c r="B35" t="s">
        <v>38</v>
      </c>
      <c r="C35" s="1">
        <v>2006</v>
      </c>
      <c r="E35" s="1" t="s">
        <v>62</v>
      </c>
      <c r="F35" s="1">
        <v>2015</v>
      </c>
      <c r="G35" s="1" t="s">
        <v>60</v>
      </c>
      <c r="H35" s="1">
        <v>910000</v>
      </c>
      <c r="I35" s="1">
        <v>5</v>
      </c>
      <c r="J35" s="27">
        <f t="shared" si="1"/>
        <v>1895000</v>
      </c>
      <c r="K35" s="1" t="s">
        <v>47</v>
      </c>
      <c r="L35" s="1">
        <v>3.87</v>
      </c>
      <c r="N35" s="1">
        <v>108.70099999999999</v>
      </c>
    </row>
    <row r="36" spans="1:14" x14ac:dyDescent="0.3">
      <c r="A36" t="s">
        <v>37</v>
      </c>
      <c r="B36" t="s">
        <v>38</v>
      </c>
      <c r="C36" s="1">
        <v>2006</v>
      </c>
      <c r="E36" s="1" t="s">
        <v>62</v>
      </c>
      <c r="F36" s="1">
        <v>2016</v>
      </c>
      <c r="G36" s="1" t="s">
        <v>60</v>
      </c>
      <c r="H36" s="1">
        <v>955000</v>
      </c>
      <c r="I36" s="1">
        <v>5</v>
      </c>
      <c r="J36" s="27">
        <f t="shared" si="1"/>
        <v>940000</v>
      </c>
      <c r="K36" s="1" t="s">
        <v>47</v>
      </c>
      <c r="L36" s="1">
        <v>3.94</v>
      </c>
      <c r="N36" s="1">
        <v>108.854</v>
      </c>
    </row>
    <row r="37" spans="1:14" x14ac:dyDescent="0.3">
      <c r="A37" t="s">
        <v>37</v>
      </c>
      <c r="B37" t="s">
        <v>38</v>
      </c>
      <c r="C37" s="1">
        <v>2006</v>
      </c>
      <c r="E37" s="1" t="s">
        <v>62</v>
      </c>
      <c r="F37" s="1">
        <v>2017</v>
      </c>
      <c r="G37" s="1" t="s">
        <v>60</v>
      </c>
      <c r="H37" s="1">
        <v>940000</v>
      </c>
      <c r="I37" s="1">
        <v>5</v>
      </c>
      <c r="J37" s="27">
        <f t="shared" si="1"/>
        <v>0</v>
      </c>
      <c r="K37" s="1" t="s">
        <v>47</v>
      </c>
      <c r="L37" s="1">
        <v>4</v>
      </c>
      <c r="N37" s="1">
        <v>108.97499999999999</v>
      </c>
    </row>
  </sheetData>
  <phoneticPr fontId="5"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15"/>
  <sheetViews>
    <sheetView workbookViewId="0">
      <selection activeCell="F17" sqref="F17"/>
    </sheetView>
  </sheetViews>
  <sheetFormatPr defaultColWidth="8.88671875" defaultRowHeight="14.4" x14ac:dyDescent="0.3"/>
  <cols>
    <col min="1" max="1" width="10.109375" style="1" bestFit="1" customWidth="1"/>
    <col min="2" max="2" width="27.88671875" style="1" bestFit="1" customWidth="1"/>
    <col min="3" max="3" width="8.88671875" style="1"/>
    <col min="4" max="4" width="13.6640625" style="31" bestFit="1" customWidth="1"/>
    <col min="5" max="16384" width="8.88671875" style="1"/>
  </cols>
  <sheetData>
    <row r="1" spans="1:6" x14ac:dyDescent="0.3">
      <c r="A1" s="2" t="s">
        <v>17</v>
      </c>
      <c r="B1" s="2" t="s">
        <v>18</v>
      </c>
      <c r="C1" s="2" t="s">
        <v>19</v>
      </c>
      <c r="D1" s="30" t="s">
        <v>63</v>
      </c>
      <c r="E1" s="4" t="s">
        <v>64</v>
      </c>
      <c r="F1" s="4" t="s">
        <v>36</v>
      </c>
    </row>
    <row r="2" spans="1:6" x14ac:dyDescent="0.3">
      <c r="A2" t="s">
        <v>37</v>
      </c>
      <c r="B2" t="s">
        <v>38</v>
      </c>
      <c r="C2" s="1">
        <v>1992</v>
      </c>
      <c r="D2" s="31">
        <v>6503627.7800000003</v>
      </c>
      <c r="E2" s="1" t="s">
        <v>65</v>
      </c>
    </row>
    <row r="3" spans="1:6" x14ac:dyDescent="0.3">
      <c r="A3" t="s">
        <v>37</v>
      </c>
      <c r="B3" t="s">
        <v>38</v>
      </c>
      <c r="C3" s="1">
        <v>1992</v>
      </c>
      <c r="D3" s="31">
        <v>929080.03</v>
      </c>
      <c r="E3" s="1" t="s">
        <v>66</v>
      </c>
    </row>
    <row r="4" spans="1:6" x14ac:dyDescent="0.3">
      <c r="A4" t="s">
        <v>37</v>
      </c>
      <c r="B4" t="s">
        <v>38</v>
      </c>
      <c r="C4" s="1">
        <v>1992</v>
      </c>
      <c r="D4" s="31">
        <v>3530050</v>
      </c>
      <c r="E4" s="1" t="s">
        <v>67</v>
      </c>
    </row>
    <row r="5" spans="1:6" x14ac:dyDescent="0.3">
      <c r="A5" t="s">
        <v>37</v>
      </c>
      <c r="B5" t="s">
        <v>38</v>
      </c>
      <c r="C5" s="1">
        <v>1992</v>
      </c>
      <c r="D5" s="31">
        <v>300000</v>
      </c>
      <c r="E5" s="1" t="s">
        <v>68</v>
      </c>
    </row>
    <row r="6" spans="1:6" x14ac:dyDescent="0.3">
      <c r="A6" t="s">
        <v>37</v>
      </c>
      <c r="B6" t="s">
        <v>38</v>
      </c>
      <c r="C6" s="1">
        <v>1992</v>
      </c>
      <c r="D6" s="31">
        <v>114388.7</v>
      </c>
      <c r="E6" s="1" t="s">
        <v>69</v>
      </c>
    </row>
    <row r="7" spans="1:6" x14ac:dyDescent="0.3">
      <c r="A7" t="s">
        <v>37</v>
      </c>
      <c r="B7" t="s">
        <v>38</v>
      </c>
      <c r="C7" s="1">
        <v>1992</v>
      </c>
      <c r="D7" s="31">
        <v>172250</v>
      </c>
      <c r="E7" s="1" t="s">
        <v>70</v>
      </c>
    </row>
    <row r="8" spans="1:6" x14ac:dyDescent="0.3">
      <c r="A8" t="s">
        <v>37</v>
      </c>
      <c r="B8" t="s">
        <v>38</v>
      </c>
      <c r="C8" s="1">
        <v>1992</v>
      </c>
      <c r="D8" s="31">
        <v>192267.41</v>
      </c>
      <c r="E8" s="1" t="s">
        <v>71</v>
      </c>
    </row>
    <row r="9" spans="1:6" x14ac:dyDescent="0.3">
      <c r="A9" t="s">
        <v>37</v>
      </c>
      <c r="B9" t="s">
        <v>38</v>
      </c>
      <c r="C9" s="1">
        <v>1992</v>
      </c>
      <c r="D9" s="31">
        <v>1935844</v>
      </c>
      <c r="E9" s="1" t="s">
        <v>72</v>
      </c>
    </row>
    <row r="10" spans="1:6" x14ac:dyDescent="0.3">
      <c r="A10" t="s">
        <v>37</v>
      </c>
      <c r="B10" t="s">
        <v>38</v>
      </c>
      <c r="C10" s="1">
        <v>1992</v>
      </c>
      <c r="D10" s="31">
        <v>1038023.75</v>
      </c>
      <c r="E10" s="1" t="s">
        <v>73</v>
      </c>
    </row>
    <row r="11" spans="1:6" x14ac:dyDescent="0.3">
      <c r="A11" t="s">
        <v>37</v>
      </c>
      <c r="B11" t="s">
        <v>38</v>
      </c>
      <c r="C11" s="1">
        <v>1992</v>
      </c>
      <c r="D11" s="31">
        <v>31427.55</v>
      </c>
      <c r="E11" s="1" t="s">
        <v>74</v>
      </c>
    </row>
    <row r="12" spans="1:6" x14ac:dyDescent="0.3">
      <c r="A12" t="s">
        <v>37</v>
      </c>
      <c r="B12" t="s">
        <v>38</v>
      </c>
      <c r="C12" s="1">
        <v>2006</v>
      </c>
      <c r="D12" s="31">
        <v>9495706.25</v>
      </c>
      <c r="E12" s="1" t="s">
        <v>75</v>
      </c>
    </row>
    <row r="13" spans="1:6" x14ac:dyDescent="0.3">
      <c r="A13" t="s">
        <v>37</v>
      </c>
      <c r="B13" t="s">
        <v>38</v>
      </c>
      <c r="C13" s="1">
        <v>2006</v>
      </c>
      <c r="D13" s="31">
        <v>961207.18</v>
      </c>
      <c r="E13" s="1" t="s">
        <v>76</v>
      </c>
    </row>
    <row r="14" spans="1:6" x14ac:dyDescent="0.3">
      <c r="A14" t="s">
        <v>37</v>
      </c>
      <c r="B14" t="s">
        <v>38</v>
      </c>
      <c r="C14" s="1">
        <v>2006</v>
      </c>
      <c r="D14" s="31">
        <v>194723.37</v>
      </c>
      <c r="E14" s="1" t="s">
        <v>71</v>
      </c>
    </row>
    <row r="15" spans="1:6" x14ac:dyDescent="0.3">
      <c r="A15" t="s">
        <v>37</v>
      </c>
      <c r="B15" t="s">
        <v>38</v>
      </c>
      <c r="C15" s="1">
        <v>2006</v>
      </c>
      <c r="D15" s="31">
        <v>4946.67</v>
      </c>
      <c r="E15" s="1" t="s">
        <v>74</v>
      </c>
    </row>
  </sheetData>
  <phoneticPr fontId="5"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M11"/>
  <sheetViews>
    <sheetView workbookViewId="0">
      <selection activeCell="M2" sqref="M2"/>
    </sheetView>
  </sheetViews>
  <sheetFormatPr defaultColWidth="8.88671875" defaultRowHeight="14.4" x14ac:dyDescent="0.3"/>
  <cols>
    <col min="1" max="1" width="10.109375" style="1" bestFit="1" customWidth="1"/>
    <col min="2" max="2" width="27.88671875" style="1" bestFit="1" customWidth="1"/>
    <col min="3" max="3" width="11" style="1" customWidth="1"/>
    <col min="4" max="4" width="17.44140625" style="1" bestFit="1" customWidth="1"/>
    <col min="5" max="5" width="10.88671875" style="1" bestFit="1" customWidth="1"/>
    <col min="6" max="10" width="8.88671875" style="1"/>
    <col min="11" max="11" width="16.33203125" style="1" bestFit="1" customWidth="1"/>
    <col min="12" max="16384" width="8.88671875" style="1"/>
  </cols>
  <sheetData>
    <row r="1" spans="1:13" x14ac:dyDescent="0.3">
      <c r="A1" s="2" t="s">
        <v>17</v>
      </c>
      <c r="B1" s="2" t="s">
        <v>18</v>
      </c>
      <c r="C1" s="2" t="s">
        <v>19</v>
      </c>
      <c r="D1" s="2" t="s">
        <v>77</v>
      </c>
      <c r="E1" s="2" t="s">
        <v>20</v>
      </c>
      <c r="F1" s="2" t="s">
        <v>78</v>
      </c>
      <c r="G1" s="5" t="s">
        <v>63</v>
      </c>
      <c r="H1" s="4" t="s">
        <v>25</v>
      </c>
      <c r="I1" s="4" t="s">
        <v>26</v>
      </c>
      <c r="J1" s="6" t="s">
        <v>79</v>
      </c>
      <c r="K1" s="3" t="s">
        <v>80</v>
      </c>
      <c r="L1" s="4" t="s">
        <v>81</v>
      </c>
      <c r="M1" s="4" t="s">
        <v>36</v>
      </c>
    </row>
    <row r="2" spans="1:13" x14ac:dyDescent="0.3">
      <c r="A2" t="s">
        <v>37</v>
      </c>
      <c r="B2" t="s">
        <v>38</v>
      </c>
      <c r="C2" s="1">
        <v>1992</v>
      </c>
    </row>
    <row r="3" spans="1:13" x14ac:dyDescent="0.3">
      <c r="A3" t="s">
        <v>37</v>
      </c>
      <c r="B3" t="s">
        <v>38</v>
      </c>
      <c r="C3" s="1">
        <v>2006</v>
      </c>
      <c r="D3" s="1" t="s">
        <v>82</v>
      </c>
      <c r="E3" s="1" t="s">
        <v>39</v>
      </c>
      <c r="F3" s="1" t="s">
        <v>83</v>
      </c>
      <c r="H3" s="1">
        <v>1996</v>
      </c>
      <c r="I3" s="1" t="s">
        <v>47</v>
      </c>
      <c r="J3" s="1" t="s">
        <v>47</v>
      </c>
      <c r="K3" s="1">
        <v>9255000</v>
      </c>
      <c r="M3" s="1" t="s">
        <v>84</v>
      </c>
    </row>
    <row r="4" spans="1:13" x14ac:dyDescent="0.3">
      <c r="A4" t="s">
        <v>37</v>
      </c>
      <c r="B4" t="s">
        <v>38</v>
      </c>
      <c r="C4" s="1">
        <v>2006</v>
      </c>
      <c r="D4" s="1" t="s">
        <v>85</v>
      </c>
      <c r="E4" s="1" t="s">
        <v>39</v>
      </c>
      <c r="F4" s="1" t="s">
        <v>86</v>
      </c>
      <c r="K4" s="1">
        <v>175987</v>
      </c>
    </row>
    <row r="5" spans="1:13" x14ac:dyDescent="0.3">
      <c r="A5" t="s">
        <v>37</v>
      </c>
      <c r="B5" t="s">
        <v>38</v>
      </c>
      <c r="C5" s="1">
        <v>2006</v>
      </c>
      <c r="D5" s="1" t="s">
        <v>87</v>
      </c>
      <c r="E5" s="1" t="s">
        <v>39</v>
      </c>
      <c r="F5" s="1" t="s">
        <v>86</v>
      </c>
      <c r="K5" s="1">
        <v>12757852</v>
      </c>
    </row>
    <row r="6" spans="1:13" x14ac:dyDescent="0.3">
      <c r="A6" t="s">
        <v>37</v>
      </c>
      <c r="B6" t="s">
        <v>38</v>
      </c>
      <c r="C6" s="1">
        <v>2006</v>
      </c>
      <c r="D6" s="1" t="s">
        <v>88</v>
      </c>
      <c r="E6" s="1" t="s">
        <v>39</v>
      </c>
      <c r="F6" s="1" t="s">
        <v>86</v>
      </c>
      <c r="K6" s="1">
        <v>9589602</v>
      </c>
    </row>
    <row r="7" spans="1:13" x14ac:dyDescent="0.3">
      <c r="A7" t="s">
        <v>37</v>
      </c>
      <c r="B7" t="s">
        <v>38</v>
      </c>
      <c r="C7" s="1">
        <v>2006</v>
      </c>
      <c r="D7" s="1" t="s">
        <v>89</v>
      </c>
      <c r="E7" s="1" t="s">
        <v>39</v>
      </c>
      <c r="F7" s="1" t="s">
        <v>86</v>
      </c>
      <c r="K7" s="1">
        <v>1307861</v>
      </c>
    </row>
    <row r="8" spans="1:13" x14ac:dyDescent="0.3">
      <c r="A8" t="s">
        <v>37</v>
      </c>
      <c r="B8" t="s">
        <v>38</v>
      </c>
      <c r="C8" s="1">
        <v>2006</v>
      </c>
      <c r="D8" s="1" t="s">
        <v>90</v>
      </c>
      <c r="E8" s="1" t="s">
        <v>39</v>
      </c>
      <c r="F8" s="1" t="s">
        <v>86</v>
      </c>
      <c r="K8" s="1">
        <v>204123</v>
      </c>
    </row>
    <row r="9" spans="1:13" x14ac:dyDescent="0.3">
      <c r="A9" t="s">
        <v>37</v>
      </c>
      <c r="B9" t="s">
        <v>38</v>
      </c>
      <c r="C9" s="1">
        <v>2006</v>
      </c>
      <c r="D9" s="1" t="s">
        <v>91</v>
      </c>
      <c r="E9" s="1" t="s">
        <v>39</v>
      </c>
      <c r="F9" s="1" t="s">
        <v>86</v>
      </c>
      <c r="K9" s="1">
        <v>284370</v>
      </c>
      <c r="M9" s="1" t="s">
        <v>92</v>
      </c>
    </row>
    <row r="10" spans="1:13" x14ac:dyDescent="0.3">
      <c r="A10" t="s">
        <v>37</v>
      </c>
      <c r="B10" t="s">
        <v>38</v>
      </c>
      <c r="C10" s="1" t="s">
        <v>93</v>
      </c>
      <c r="D10" s="1" t="s">
        <v>94</v>
      </c>
      <c r="E10" s="1" t="s">
        <v>39</v>
      </c>
      <c r="F10" s="1" t="s">
        <v>83</v>
      </c>
      <c r="G10" s="1">
        <v>9000000</v>
      </c>
      <c r="H10" s="1">
        <v>2006</v>
      </c>
      <c r="K10" s="1">
        <v>7400000</v>
      </c>
    </row>
    <row r="11" spans="1:13" x14ac:dyDescent="0.3">
      <c r="A11" t="s">
        <v>37</v>
      </c>
      <c r="B11" t="s">
        <v>38</v>
      </c>
      <c r="C11" s="1" t="s">
        <v>95</v>
      </c>
      <c r="D11" s="1" t="s">
        <v>96</v>
      </c>
      <c r="E11" s="1" t="s">
        <v>39</v>
      </c>
      <c r="F11" s="1" t="s">
        <v>86</v>
      </c>
      <c r="K11" s="1">
        <v>17050864</v>
      </c>
    </row>
  </sheetData>
  <phoneticPr fontId="5"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4"/>
  <sheetViews>
    <sheetView topLeftCell="B1" workbookViewId="0">
      <selection activeCell="H4" sqref="H4"/>
    </sheetView>
  </sheetViews>
  <sheetFormatPr defaultColWidth="8.88671875" defaultRowHeight="14.4" x14ac:dyDescent="0.3"/>
  <cols>
    <col min="1" max="1" width="10.109375" style="1" bestFit="1" customWidth="1"/>
    <col min="2" max="2" width="27.88671875" style="1" bestFit="1" customWidth="1"/>
    <col min="3" max="6" width="8.88671875" style="1"/>
    <col min="7" max="7" width="9.109375" style="1" bestFit="1" customWidth="1"/>
    <col min="8" max="8" width="8.88671875" style="1"/>
    <col min="9" max="9" width="15" style="1" bestFit="1" customWidth="1"/>
    <col min="10" max="16384" width="8.88671875" style="1"/>
  </cols>
  <sheetData>
    <row r="1" spans="1:10" x14ac:dyDescent="0.3">
      <c r="A1" s="18" t="s">
        <v>17</v>
      </c>
      <c r="B1" s="18" t="s">
        <v>18</v>
      </c>
      <c r="C1" s="18" t="s">
        <v>19</v>
      </c>
      <c r="D1" s="18" t="s">
        <v>97</v>
      </c>
      <c r="E1" s="18" t="s">
        <v>98</v>
      </c>
      <c r="F1" s="18" t="s">
        <v>56</v>
      </c>
      <c r="G1" s="18" t="s">
        <v>99</v>
      </c>
      <c r="H1" s="18" t="s">
        <v>100</v>
      </c>
      <c r="I1" s="18" t="s">
        <v>101</v>
      </c>
      <c r="J1" s="18" t="s">
        <v>36</v>
      </c>
    </row>
    <row r="2" spans="1:10" x14ac:dyDescent="0.3">
      <c r="A2" t="s">
        <v>37</v>
      </c>
      <c r="B2" t="s">
        <v>38</v>
      </c>
      <c r="C2" s="49">
        <v>2006</v>
      </c>
      <c r="D2" s="49">
        <v>2002</v>
      </c>
      <c r="E2" s="47"/>
      <c r="F2" s="47"/>
      <c r="G2" s="49">
        <v>37186608</v>
      </c>
      <c r="H2" s="47"/>
      <c r="I2" s="47"/>
      <c r="J2" s="47"/>
    </row>
    <row r="3" spans="1:10" ht="15.9" customHeight="1" x14ac:dyDescent="0.3">
      <c r="A3" t="s">
        <v>37</v>
      </c>
      <c r="B3" t="s">
        <v>38</v>
      </c>
      <c r="C3" s="49">
        <v>2006</v>
      </c>
      <c r="D3" s="49">
        <v>2003</v>
      </c>
      <c r="E3" s="47"/>
      <c r="F3" s="47"/>
      <c r="G3" s="49">
        <v>35332292</v>
      </c>
      <c r="H3" s="47"/>
      <c r="I3" s="47"/>
      <c r="J3" s="47"/>
    </row>
    <row r="4" spans="1:10" x14ac:dyDescent="0.3">
      <c r="A4" t="s">
        <v>37</v>
      </c>
      <c r="B4" t="s">
        <v>38</v>
      </c>
      <c r="C4" s="1">
        <v>2006</v>
      </c>
      <c r="D4" s="1">
        <v>2004</v>
      </c>
      <c r="G4" s="1">
        <v>33337885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5"/>
  <sheetViews>
    <sheetView workbookViewId="0">
      <selection activeCell="F5" sqref="F5"/>
    </sheetView>
  </sheetViews>
  <sheetFormatPr defaultColWidth="8.88671875" defaultRowHeight="14.4" x14ac:dyDescent="0.3"/>
  <cols>
    <col min="1" max="1" width="10.109375" style="1" bestFit="1" customWidth="1"/>
    <col min="2" max="2" width="27.88671875" style="1" bestFit="1" customWidth="1"/>
    <col min="3" max="4" width="8.88671875" style="48"/>
    <col min="5" max="5" width="9.6640625" style="1" bestFit="1" customWidth="1"/>
    <col min="6" max="6" width="8.88671875" style="1"/>
    <col min="7" max="7" width="14.109375" style="1" bestFit="1" customWidth="1"/>
    <col min="8" max="8" width="13.88671875" style="1" bestFit="1" customWidth="1"/>
    <col min="9" max="9" width="14.88671875" style="1" bestFit="1" customWidth="1"/>
    <col min="10" max="16384" width="8.88671875" style="1"/>
  </cols>
  <sheetData>
    <row r="1" spans="1:9" x14ac:dyDescent="0.3">
      <c r="A1" s="2" t="s">
        <v>17</v>
      </c>
      <c r="B1" s="2" t="s">
        <v>18</v>
      </c>
      <c r="C1" s="18" t="s">
        <v>19</v>
      </c>
      <c r="D1" s="18" t="s">
        <v>97</v>
      </c>
      <c r="E1" s="4" t="s">
        <v>102</v>
      </c>
      <c r="F1" s="4" t="s">
        <v>103</v>
      </c>
      <c r="G1" s="4" t="s">
        <v>104</v>
      </c>
      <c r="H1" s="4" t="s">
        <v>105</v>
      </c>
      <c r="I1" s="4" t="s">
        <v>106</v>
      </c>
    </row>
    <row r="2" spans="1:9" s="34" customFormat="1" x14ac:dyDescent="0.3">
      <c r="A2" s="32" t="str">
        <f>A3</f>
        <v>PA2408010</v>
      </c>
      <c r="B2" t="s">
        <v>38</v>
      </c>
      <c r="C2" s="49">
        <v>1992</v>
      </c>
      <c r="D2" s="49">
        <v>1992</v>
      </c>
      <c r="E2" s="33">
        <v>1292239</v>
      </c>
      <c r="F2" s="33"/>
      <c r="G2" s="33"/>
      <c r="H2" s="33"/>
      <c r="I2" s="33"/>
    </row>
    <row r="3" spans="1:9" x14ac:dyDescent="0.3">
      <c r="A3" t="s">
        <v>37</v>
      </c>
      <c r="B3" t="s">
        <v>38</v>
      </c>
      <c r="C3" s="48">
        <v>2006</v>
      </c>
      <c r="D3" s="48">
        <v>2002</v>
      </c>
      <c r="E3" s="1">
        <v>1011110</v>
      </c>
    </row>
    <row r="4" spans="1:9" x14ac:dyDescent="0.3">
      <c r="A4" t="s">
        <v>37</v>
      </c>
      <c r="B4" t="s">
        <v>38</v>
      </c>
      <c r="C4" s="48">
        <v>2006</v>
      </c>
      <c r="D4" s="48">
        <v>2003</v>
      </c>
      <c r="E4" s="1">
        <v>1398362</v>
      </c>
    </row>
    <row r="5" spans="1:9" x14ac:dyDescent="0.3">
      <c r="A5" t="s">
        <v>37</v>
      </c>
      <c r="B5" t="s">
        <v>38</v>
      </c>
      <c r="C5" s="48">
        <v>2006</v>
      </c>
      <c r="D5" s="48">
        <v>2004</v>
      </c>
      <c r="E5" s="1">
        <v>1555372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H11"/>
  <sheetViews>
    <sheetView workbookViewId="0">
      <selection activeCell="J19" sqref="J19"/>
    </sheetView>
  </sheetViews>
  <sheetFormatPr defaultColWidth="8.88671875" defaultRowHeight="14.4" x14ac:dyDescent="0.3"/>
  <cols>
    <col min="1" max="1" width="10.109375" style="1" bestFit="1" customWidth="1"/>
    <col min="2" max="2" width="27.88671875" style="1" bestFit="1" customWidth="1"/>
    <col min="3" max="3" width="8.88671875" style="1"/>
    <col min="4" max="4" width="16.6640625" style="1" bestFit="1" customWidth="1"/>
    <col min="5" max="5" width="15.109375" style="1" bestFit="1" customWidth="1"/>
    <col min="6" max="6" width="10.109375" style="1" bestFit="1" customWidth="1"/>
    <col min="7" max="7" width="11.33203125" style="1" bestFit="1" customWidth="1"/>
    <col min="8" max="16384" width="8.88671875" style="1"/>
  </cols>
  <sheetData>
    <row r="1" spans="1:8" x14ac:dyDescent="0.3">
      <c r="A1" s="18" t="s">
        <v>17</v>
      </c>
      <c r="B1" s="18" t="s">
        <v>18</v>
      </c>
      <c r="C1" s="18" t="s">
        <v>19</v>
      </c>
      <c r="D1" s="18" t="s">
        <v>107</v>
      </c>
      <c r="E1" s="18" t="s">
        <v>108</v>
      </c>
      <c r="F1" s="18" t="s">
        <v>109</v>
      </c>
      <c r="G1" s="18" t="s">
        <v>110</v>
      </c>
      <c r="H1" s="18" t="s">
        <v>36</v>
      </c>
    </row>
    <row r="2" spans="1:8" x14ac:dyDescent="0.3">
      <c r="A2" s="21" t="s">
        <v>37</v>
      </c>
      <c r="B2" s="21" t="s">
        <v>38</v>
      </c>
      <c r="C2" s="1">
        <v>1992</v>
      </c>
      <c r="D2" s="1" t="s">
        <v>111</v>
      </c>
      <c r="E2" s="1" t="s">
        <v>112</v>
      </c>
      <c r="F2" s="1">
        <v>1994</v>
      </c>
    </row>
    <row r="3" spans="1:8" x14ac:dyDescent="0.3">
      <c r="A3" s="21" t="s">
        <v>37</v>
      </c>
      <c r="B3" s="21" t="s">
        <v>38</v>
      </c>
      <c r="C3" s="1">
        <v>1992</v>
      </c>
      <c r="D3" s="1" t="s">
        <v>113</v>
      </c>
      <c r="E3" s="1" t="s">
        <v>114</v>
      </c>
      <c r="F3" s="1">
        <v>1992</v>
      </c>
    </row>
    <row r="4" spans="1:8" x14ac:dyDescent="0.3">
      <c r="A4" s="21" t="s">
        <v>37</v>
      </c>
      <c r="B4" s="21" t="s">
        <v>38</v>
      </c>
      <c r="C4" s="1">
        <v>1992</v>
      </c>
      <c r="D4" s="1" t="s">
        <v>115</v>
      </c>
      <c r="E4" s="1" t="s">
        <v>116</v>
      </c>
      <c r="F4" s="1">
        <v>1996</v>
      </c>
    </row>
    <row r="5" spans="1:8" x14ac:dyDescent="0.3">
      <c r="A5" s="21" t="s">
        <v>37</v>
      </c>
      <c r="B5" s="21" t="s">
        <v>38</v>
      </c>
      <c r="C5" s="1">
        <v>1992</v>
      </c>
      <c r="D5" s="1" t="s">
        <v>117</v>
      </c>
      <c r="E5" s="1" t="s">
        <v>118</v>
      </c>
      <c r="F5" s="1">
        <v>1995</v>
      </c>
    </row>
    <row r="6" spans="1:8" x14ac:dyDescent="0.3">
      <c r="A6" s="21" t="s">
        <v>37</v>
      </c>
      <c r="B6" s="21" t="s">
        <v>38</v>
      </c>
      <c r="C6" s="1">
        <v>1992</v>
      </c>
      <c r="D6" s="1" t="s">
        <v>119</v>
      </c>
      <c r="E6" s="1" t="s">
        <v>120</v>
      </c>
      <c r="F6" s="1">
        <v>1993</v>
      </c>
    </row>
    <row r="7" spans="1:8" x14ac:dyDescent="0.3">
      <c r="A7" s="21" t="s">
        <v>37</v>
      </c>
      <c r="B7" s="21" t="s">
        <v>38</v>
      </c>
      <c r="C7" s="1">
        <v>2006</v>
      </c>
      <c r="D7" s="1" t="s">
        <v>121</v>
      </c>
      <c r="E7" s="1" t="s">
        <v>112</v>
      </c>
      <c r="F7" s="1">
        <v>2008</v>
      </c>
    </row>
    <row r="8" spans="1:8" x14ac:dyDescent="0.3">
      <c r="A8" s="21" t="s">
        <v>37</v>
      </c>
      <c r="B8" s="21" t="s">
        <v>38</v>
      </c>
      <c r="C8" s="1">
        <v>2006</v>
      </c>
      <c r="D8" s="1" t="s">
        <v>122</v>
      </c>
      <c r="E8" s="1" t="s">
        <v>114</v>
      </c>
      <c r="F8" s="1">
        <v>2009</v>
      </c>
    </row>
    <row r="9" spans="1:8" x14ac:dyDescent="0.3">
      <c r="A9" s="21" t="s">
        <v>37</v>
      </c>
      <c r="B9" s="21" t="s">
        <v>38</v>
      </c>
      <c r="C9" s="1">
        <v>2006</v>
      </c>
      <c r="D9" s="1" t="s">
        <v>123</v>
      </c>
      <c r="E9" s="1" t="s">
        <v>124</v>
      </c>
      <c r="F9" s="1">
        <v>2010</v>
      </c>
    </row>
    <row r="10" spans="1:8" x14ac:dyDescent="0.3">
      <c r="A10" s="21" t="s">
        <v>37</v>
      </c>
      <c r="B10" s="21" t="s">
        <v>38</v>
      </c>
      <c r="C10" s="1">
        <v>2006</v>
      </c>
      <c r="D10" s="1" t="s">
        <v>125</v>
      </c>
      <c r="E10" s="1" t="s">
        <v>120</v>
      </c>
      <c r="F10" s="1">
        <v>2006</v>
      </c>
    </row>
    <row r="11" spans="1:8" x14ac:dyDescent="0.3">
      <c r="A11" s="21" t="s">
        <v>37</v>
      </c>
      <c r="B11" s="21" t="s">
        <v>38</v>
      </c>
      <c r="C11" s="1">
        <v>2006</v>
      </c>
      <c r="D11" s="1" t="s">
        <v>115</v>
      </c>
      <c r="E11" s="1" t="s">
        <v>118</v>
      </c>
      <c r="F11" s="1">
        <v>2007</v>
      </c>
    </row>
  </sheetData>
  <phoneticPr fontId="5"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Y6"/>
  <sheetViews>
    <sheetView workbookViewId="0">
      <selection activeCell="H17" sqref="H17"/>
    </sheetView>
  </sheetViews>
  <sheetFormatPr defaultColWidth="8.88671875" defaultRowHeight="14.4" x14ac:dyDescent="0.3"/>
  <cols>
    <col min="1" max="1" width="10.109375" style="1" bestFit="1" customWidth="1"/>
    <col min="2" max="2" width="27.88671875" style="1" bestFit="1" customWidth="1"/>
    <col min="3" max="4" width="8.88671875" style="1"/>
    <col min="5" max="5" width="10.88671875" style="1" bestFit="1" customWidth="1"/>
    <col min="6" max="6" width="10.109375" style="1" bestFit="1" customWidth="1"/>
    <col min="7" max="7" width="10.88671875" style="1" bestFit="1" customWidth="1"/>
    <col min="8" max="8" width="14.44140625" style="1" bestFit="1" customWidth="1"/>
    <col min="9" max="10" width="14" style="1" bestFit="1" customWidth="1"/>
    <col min="11" max="11" width="10.44140625" style="1" bestFit="1" customWidth="1"/>
    <col min="12" max="12" width="14.6640625" style="1" bestFit="1" customWidth="1"/>
    <col min="13" max="13" width="7" style="1" bestFit="1" customWidth="1"/>
    <col min="14" max="14" width="9" style="1" bestFit="1" customWidth="1"/>
    <col min="15" max="15" width="10.44140625" style="1" bestFit="1" customWidth="1"/>
    <col min="16" max="16" width="15" style="1" bestFit="1" customWidth="1"/>
    <col min="17" max="17" width="17.88671875" style="1" bestFit="1" customWidth="1"/>
    <col min="18" max="20" width="8.88671875" style="1"/>
    <col min="21" max="21" width="9" style="1" bestFit="1" customWidth="1"/>
    <col min="22" max="22" width="11.33203125" style="1" bestFit="1" customWidth="1"/>
    <col min="23" max="23" width="11.44140625" style="1" bestFit="1" customWidth="1"/>
    <col min="24" max="24" width="19.88671875" style="1" bestFit="1" customWidth="1"/>
    <col min="25" max="16384" width="8.88671875" style="1"/>
  </cols>
  <sheetData>
    <row r="1" spans="1:25" x14ac:dyDescent="0.3">
      <c r="A1" s="2" t="s">
        <v>17</v>
      </c>
      <c r="B1" s="2" t="s">
        <v>18</v>
      </c>
      <c r="C1" s="2" t="s">
        <v>19</v>
      </c>
      <c r="D1" s="2" t="s">
        <v>25</v>
      </c>
      <c r="E1" s="2" t="s">
        <v>20</v>
      </c>
      <c r="F1" s="2" t="s">
        <v>126</v>
      </c>
      <c r="G1" s="4" t="s">
        <v>127</v>
      </c>
      <c r="H1" s="2" t="s">
        <v>128</v>
      </c>
      <c r="I1" s="2" t="s">
        <v>129</v>
      </c>
      <c r="J1" s="2" t="s">
        <v>130</v>
      </c>
      <c r="K1" s="2" t="s">
        <v>131</v>
      </c>
      <c r="L1" s="2" t="s">
        <v>132</v>
      </c>
      <c r="M1" s="2" t="s">
        <v>133</v>
      </c>
      <c r="N1" s="2" t="s">
        <v>134</v>
      </c>
      <c r="O1" s="2" t="s">
        <v>135</v>
      </c>
      <c r="P1" s="2" t="s">
        <v>136</v>
      </c>
      <c r="Q1" s="2" t="s">
        <v>137</v>
      </c>
      <c r="R1" s="2" t="s">
        <v>138</v>
      </c>
      <c r="S1" s="2" t="s">
        <v>139</v>
      </c>
      <c r="T1" s="2" t="s">
        <v>36</v>
      </c>
      <c r="U1" s="2" t="s">
        <v>138</v>
      </c>
      <c r="V1" s="2" t="s">
        <v>140</v>
      </c>
      <c r="W1" s="2" t="s">
        <v>141</v>
      </c>
      <c r="X1" s="2" t="s">
        <v>142</v>
      </c>
      <c r="Y1" s="4" t="s">
        <v>143</v>
      </c>
    </row>
    <row r="2" spans="1:25" x14ac:dyDescent="0.3">
      <c r="A2" s="21" t="s">
        <v>37</v>
      </c>
      <c r="B2" s="21" t="s">
        <v>38</v>
      </c>
      <c r="C2" s="1">
        <v>1992</v>
      </c>
      <c r="D2" s="1">
        <v>1938</v>
      </c>
      <c r="E2" s="1" t="s">
        <v>39</v>
      </c>
      <c r="F2" s="1" t="s">
        <v>144</v>
      </c>
      <c r="G2" s="1" t="s">
        <v>145</v>
      </c>
      <c r="H2" s="1" t="s">
        <v>146</v>
      </c>
      <c r="I2" s="1" t="s">
        <v>47</v>
      </c>
      <c r="J2" s="1" t="s">
        <v>47</v>
      </c>
      <c r="K2" s="1" t="s">
        <v>47</v>
      </c>
      <c r="L2" s="1" t="s">
        <v>47</v>
      </c>
      <c r="M2" s="1">
        <v>13</v>
      </c>
      <c r="N2" s="1">
        <v>3</v>
      </c>
      <c r="O2" s="1" t="s">
        <v>47</v>
      </c>
      <c r="P2" s="1">
        <v>41400</v>
      </c>
      <c r="S2" s="1">
        <v>60</v>
      </c>
      <c r="X2" s="1" t="s">
        <v>147</v>
      </c>
      <c r="Y2" s="1" t="s">
        <v>148</v>
      </c>
    </row>
    <row r="3" spans="1:25" x14ac:dyDescent="0.3">
      <c r="A3" s="21" t="s">
        <v>37</v>
      </c>
      <c r="B3" s="21" t="s">
        <v>38</v>
      </c>
      <c r="C3" s="1">
        <v>2006</v>
      </c>
      <c r="D3" s="1">
        <v>1938</v>
      </c>
      <c r="E3" s="1" t="s">
        <v>39</v>
      </c>
      <c r="F3" s="1" t="s">
        <v>144</v>
      </c>
      <c r="G3" s="1" t="s">
        <v>145</v>
      </c>
      <c r="H3" s="1" t="s">
        <v>149</v>
      </c>
      <c r="I3" s="1" t="s">
        <v>47</v>
      </c>
      <c r="J3" s="1" t="s">
        <v>47</v>
      </c>
      <c r="L3" s="1" t="s">
        <v>47</v>
      </c>
      <c r="M3" s="1">
        <v>13</v>
      </c>
      <c r="N3" s="1">
        <v>3</v>
      </c>
      <c r="O3" s="1" t="s">
        <v>47</v>
      </c>
      <c r="P3" s="1">
        <v>40000</v>
      </c>
      <c r="S3" s="1">
        <v>60</v>
      </c>
    </row>
    <row r="4" spans="1:25" x14ac:dyDescent="0.3">
      <c r="A4" s="21" t="s">
        <v>37</v>
      </c>
      <c r="B4" s="21" t="s">
        <v>38</v>
      </c>
      <c r="C4" s="1">
        <v>2009</v>
      </c>
      <c r="D4" s="1">
        <f>D3</f>
        <v>1938</v>
      </c>
      <c r="E4" s="1" t="s">
        <v>39</v>
      </c>
      <c r="F4" s="1" t="s">
        <v>144</v>
      </c>
      <c r="G4" s="1" t="s">
        <v>145</v>
      </c>
      <c r="M4" s="1">
        <v>13</v>
      </c>
      <c r="N4" s="1">
        <v>3</v>
      </c>
      <c r="Q4" s="1">
        <v>15117</v>
      </c>
    </row>
    <row r="5" spans="1:25" x14ac:dyDescent="0.3">
      <c r="A5" s="21" t="s">
        <v>37</v>
      </c>
      <c r="B5" s="21" t="s">
        <v>38</v>
      </c>
      <c r="C5" s="1">
        <f>C4</f>
        <v>2009</v>
      </c>
      <c r="D5" s="1">
        <f>D4</f>
        <v>1938</v>
      </c>
      <c r="E5" s="1" t="s">
        <v>39</v>
      </c>
      <c r="F5" s="1" t="s">
        <v>144</v>
      </c>
      <c r="G5" s="1" t="s">
        <v>145</v>
      </c>
      <c r="M5" s="1">
        <v>13</v>
      </c>
      <c r="N5" s="1">
        <v>3</v>
      </c>
      <c r="Q5" s="1">
        <v>15141</v>
      </c>
    </row>
    <row r="6" spans="1:25" x14ac:dyDescent="0.3">
      <c r="A6" s="21" t="s">
        <v>37</v>
      </c>
      <c r="B6" s="21" t="s">
        <v>38</v>
      </c>
      <c r="C6" s="1">
        <f>C5</f>
        <v>2009</v>
      </c>
      <c r="D6" s="1">
        <f>D5</f>
        <v>1938</v>
      </c>
      <c r="E6" s="1" t="s">
        <v>39</v>
      </c>
      <c r="F6" s="1" t="s">
        <v>144</v>
      </c>
      <c r="G6" s="1" t="s">
        <v>145</v>
      </c>
      <c r="M6" s="1">
        <v>13</v>
      </c>
      <c r="N6" s="1">
        <v>3</v>
      </c>
      <c r="Q6" s="1">
        <v>15074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Notes</vt:lpstr>
      <vt:lpstr>basicInfo</vt:lpstr>
      <vt:lpstr>maturitySched</vt:lpstr>
      <vt:lpstr>bondPurpose</vt:lpstr>
      <vt:lpstr>otherDebt</vt:lpstr>
      <vt:lpstr>longTerm</vt:lpstr>
      <vt:lpstr>debtService</vt:lpstr>
      <vt:lpstr>board</vt:lpstr>
      <vt:lpstr>utilityInfo</vt:lpstr>
      <vt:lpstr>serviceArea</vt:lpstr>
      <vt:lpstr>interconnect</vt:lpstr>
      <vt:lpstr>source</vt:lpstr>
      <vt:lpstr>customers</vt:lpstr>
      <vt:lpstr>usage</vt:lpstr>
      <vt:lpstr>unaccounted</vt:lpstr>
      <vt:lpstr>largestCust</vt:lpstr>
      <vt:lpstr>rates</vt:lpstr>
      <vt:lpstr>fiscal</vt:lpstr>
      <vt:lpstr>Assets</vt:lpstr>
      <vt:lpstr>revCollect</vt:lpstr>
      <vt:lpstr>financialIndicators</vt:lpstr>
    </vt:vector>
  </TitlesOfParts>
  <Manager/>
  <Company>Duke University</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Lauren Patterson</dc:creator>
  <cp:keywords/>
  <dc:description/>
  <cp:lastModifiedBy>Rachel Bash</cp:lastModifiedBy>
  <cp:revision/>
  <dcterms:created xsi:type="dcterms:W3CDTF">2019-08-01T16:52:11Z</dcterms:created>
  <dcterms:modified xsi:type="dcterms:W3CDTF">2020-01-27T21:36:10Z</dcterms:modified>
  <cp:category/>
  <cp:contentStatus/>
</cp:coreProperties>
</file>