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524\Box\Shrinking Cities MP\data\bond_data\"/>
    </mc:Choice>
  </mc:AlternateContent>
  <xr:revisionPtr revIDLastSave="0" documentId="13_ncr:1_{31A6A9C4-D843-452D-960A-86E965B375C6}" xr6:coauthVersionLast="45" xr6:coauthVersionMax="45" xr10:uidLastSave="{00000000-0000-0000-0000-000000000000}"/>
  <bookViews>
    <workbookView xWindow="-108" yWindow="-108" windowWidth="23256" windowHeight="12576" firstSheet="14" activeTab="20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9" r:id="rId17"/>
    <sheet name="fiscal" sheetId="16" r:id="rId18"/>
    <sheet name="assets" sheetId="20" r:id="rId19"/>
    <sheet name="revCollect" sheetId="15" r:id="rId20"/>
    <sheet name="financialIndicators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1" l="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E23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E20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E22" i="21"/>
  <c r="E17" i="21"/>
  <c r="F25" i="21"/>
  <c r="G25" i="21"/>
  <c r="G26" i="21" s="1"/>
  <c r="H25" i="21"/>
  <c r="H26" i="21" s="1"/>
  <c r="I25" i="21"/>
  <c r="I26" i="21" s="1"/>
  <c r="J25" i="21"/>
  <c r="K25" i="21"/>
  <c r="K26" i="21" s="1"/>
  <c r="L25" i="21"/>
  <c r="L26" i="21" s="1"/>
  <c r="M25" i="21"/>
  <c r="M26" i="21" s="1"/>
  <c r="N25" i="21"/>
  <c r="O25" i="21"/>
  <c r="O26" i="21" s="1"/>
  <c r="P25" i="21"/>
  <c r="P26" i="21" s="1"/>
  <c r="Q25" i="21"/>
  <c r="Q26" i="21" s="1"/>
  <c r="R25" i="21"/>
  <c r="S26" i="21"/>
  <c r="T25" i="21"/>
  <c r="T26" i="21" s="1"/>
  <c r="U25" i="21"/>
  <c r="U26" i="21" s="1"/>
  <c r="V25" i="21"/>
  <c r="W25" i="21"/>
  <c r="W26" i="21" s="1"/>
  <c r="X25" i="21"/>
  <c r="X26" i="21" s="1"/>
  <c r="Y25" i="21"/>
  <c r="Y26" i="21" s="1"/>
  <c r="Z25" i="21"/>
  <c r="AA25" i="21"/>
  <c r="AA26" i="21" s="1"/>
  <c r="AB25" i="21"/>
  <c r="AB26" i="21" s="1"/>
  <c r="AC25" i="21"/>
  <c r="AC26" i="21" s="1"/>
  <c r="AD25" i="21"/>
  <c r="AE25" i="21"/>
  <c r="AE26" i="21" s="1"/>
  <c r="AF25" i="21"/>
  <c r="AF26" i="21" s="1"/>
  <c r="AG26" i="21"/>
  <c r="AI26" i="21"/>
  <c r="AJ25" i="21"/>
  <c r="AJ26" i="21" s="1"/>
  <c r="AK25" i="21"/>
  <c r="AK26" i="21" s="1"/>
  <c r="E25" i="21"/>
  <c r="E26" i="21" s="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E14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E21" i="21"/>
  <c r="F26" i="21"/>
  <c r="J26" i="21"/>
  <c r="N26" i="21"/>
  <c r="R26" i="21"/>
  <c r="V26" i="21"/>
  <c r="Z26" i="21"/>
  <c r="AD26" i="21"/>
  <c r="AH26" i="21"/>
  <c r="AI11" i="21"/>
  <c r="F5" i="21" l="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E5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J11" i="21"/>
  <c r="AK11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E13" i="21"/>
  <c r="E12" i="21"/>
  <c r="E11" i="21"/>
  <c r="E10" i="21"/>
  <c r="E7" i="21"/>
  <c r="E8" i="21"/>
  <c r="E9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E4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E3" i="21"/>
  <c r="F2" i="21"/>
  <c r="F17" i="21" s="1"/>
  <c r="G2" i="21"/>
  <c r="G17" i="21" s="1"/>
  <c r="H2" i="21"/>
  <c r="I2" i="21"/>
  <c r="I17" i="21" s="1"/>
  <c r="J2" i="21"/>
  <c r="J17" i="21" s="1"/>
  <c r="K2" i="21"/>
  <c r="L2" i="21"/>
  <c r="L17" i="21" s="1"/>
  <c r="M2" i="21"/>
  <c r="N2" i="21"/>
  <c r="N17" i="21" s="1"/>
  <c r="O2" i="21"/>
  <c r="O17" i="21" s="1"/>
  <c r="P2" i="21"/>
  <c r="Q2" i="21"/>
  <c r="Q17" i="21" s="1"/>
  <c r="R2" i="21"/>
  <c r="R17" i="21" s="1"/>
  <c r="S2" i="21"/>
  <c r="T2" i="21"/>
  <c r="T17" i="21" s="1"/>
  <c r="U2" i="21"/>
  <c r="V2" i="21"/>
  <c r="V17" i="21" s="1"/>
  <c r="W2" i="21"/>
  <c r="W17" i="21" s="1"/>
  <c r="X2" i="21"/>
  <c r="Y2" i="21"/>
  <c r="Y17" i="21" s="1"/>
  <c r="Z2" i="21"/>
  <c r="Z17" i="21" s="1"/>
  <c r="AA2" i="21"/>
  <c r="AB2" i="21"/>
  <c r="AB17" i="21" s="1"/>
  <c r="AC2" i="21"/>
  <c r="AD2" i="21"/>
  <c r="AD17" i="21" s="1"/>
  <c r="AE2" i="21"/>
  <c r="AE17" i="21" s="1"/>
  <c r="AF2" i="21"/>
  <c r="AG2" i="21"/>
  <c r="AG17" i="21" s="1"/>
  <c r="AH2" i="21"/>
  <c r="AH17" i="21" s="1"/>
  <c r="AI2" i="21"/>
  <c r="AJ2" i="21"/>
  <c r="AJ17" i="21" s="1"/>
  <c r="AK2" i="21"/>
  <c r="E2" i="21"/>
  <c r="AJ24" i="21" l="1"/>
  <c r="AB24" i="21"/>
  <c r="T24" i="21"/>
  <c r="L24" i="21"/>
  <c r="AI17" i="21"/>
  <c r="AA17" i="21"/>
  <c r="S17" i="21"/>
  <c r="K17" i="21"/>
  <c r="AK18" i="21"/>
  <c r="AK19" i="21"/>
  <c r="AC18" i="21"/>
  <c r="AC19" i="21"/>
  <c r="U18" i="21"/>
  <c r="U19" i="21"/>
  <c r="M18" i="21"/>
  <c r="M19" i="21"/>
  <c r="AI24" i="21"/>
  <c r="AA24" i="21"/>
  <c r="S24" i="21"/>
  <c r="K24" i="21"/>
  <c r="AD18" i="21"/>
  <c r="AD19" i="21"/>
  <c r="F18" i="21"/>
  <c r="F19" i="21"/>
  <c r="AB19" i="21"/>
  <c r="AB18" i="21"/>
  <c r="AH24" i="21"/>
  <c r="R24" i="21"/>
  <c r="AI18" i="21"/>
  <c r="AI19" i="21"/>
  <c r="AA18" i="21"/>
  <c r="AA19" i="21"/>
  <c r="S18" i="21"/>
  <c r="S19" i="21"/>
  <c r="K18" i="21"/>
  <c r="K19" i="21"/>
  <c r="AG24" i="21"/>
  <c r="Y24" i="21"/>
  <c r="Q24" i="21"/>
  <c r="I24" i="21"/>
  <c r="AJ19" i="21"/>
  <c r="AJ18" i="21"/>
  <c r="T19" i="21"/>
  <c r="T18" i="21"/>
  <c r="L19" i="21"/>
  <c r="L18" i="21"/>
  <c r="Z24" i="21"/>
  <c r="J24" i="21"/>
  <c r="AF17" i="21"/>
  <c r="X17" i="21"/>
  <c r="P17" i="21"/>
  <c r="H17" i="21"/>
  <c r="AH18" i="21"/>
  <c r="AH19" i="21"/>
  <c r="Z19" i="21"/>
  <c r="Z18" i="21"/>
  <c r="R18" i="21"/>
  <c r="R19" i="21"/>
  <c r="J19" i="21"/>
  <c r="J18" i="21"/>
  <c r="E24" i="21"/>
  <c r="AF24" i="21"/>
  <c r="X24" i="21"/>
  <c r="P24" i="21"/>
  <c r="H24" i="21"/>
  <c r="AE24" i="21"/>
  <c r="W24" i="21"/>
  <c r="O24" i="21"/>
  <c r="G24" i="21"/>
  <c r="E18" i="21"/>
  <c r="E19" i="21"/>
  <c r="N18" i="21"/>
  <c r="N19" i="21"/>
  <c r="Y18" i="21"/>
  <c r="Y19" i="21"/>
  <c r="I18" i="21"/>
  <c r="I19" i="21"/>
  <c r="AF19" i="21"/>
  <c r="AF18" i="21"/>
  <c r="X19" i="21"/>
  <c r="X18" i="21"/>
  <c r="P19" i="21"/>
  <c r="P18" i="21"/>
  <c r="H19" i="21"/>
  <c r="H18" i="21"/>
  <c r="AD24" i="21"/>
  <c r="V24" i="21"/>
  <c r="N24" i="21"/>
  <c r="F24" i="21"/>
  <c r="V18" i="21"/>
  <c r="V19" i="21"/>
  <c r="AG18" i="21"/>
  <c r="AG19" i="21"/>
  <c r="Q18" i="21"/>
  <c r="Q19" i="21"/>
  <c r="AK17" i="21"/>
  <c r="AC17" i="21"/>
  <c r="U17" i="21"/>
  <c r="M17" i="21"/>
  <c r="AE19" i="21"/>
  <c r="AE18" i="21"/>
  <c r="W18" i="21"/>
  <c r="W19" i="21"/>
  <c r="O19" i="21"/>
  <c r="O18" i="21"/>
  <c r="G19" i="21"/>
  <c r="G18" i="21"/>
  <c r="AK24" i="21"/>
  <c r="AC24" i="21"/>
  <c r="U24" i="21"/>
  <c r="M24" i="21"/>
  <c r="E65" i="20"/>
  <c r="F65" i="20"/>
  <c r="H3" i="20"/>
  <c r="G3" i="20"/>
  <c r="E61" i="20"/>
  <c r="F61" i="20"/>
  <c r="E55" i="20"/>
  <c r="F55" i="20"/>
  <c r="E45" i="20"/>
  <c r="E56" i="20" s="1"/>
  <c r="E66" i="20" s="1"/>
  <c r="F45" i="20"/>
  <c r="F56" i="20" s="1"/>
  <c r="F66" i="20" s="1"/>
  <c r="E29" i="20"/>
  <c r="F29" i="20"/>
  <c r="E20" i="20"/>
  <c r="E25" i="20"/>
  <c r="F25" i="20"/>
  <c r="F20" i="20"/>
  <c r="E13" i="20"/>
  <c r="F13" i="20"/>
  <c r="G24" i="16"/>
  <c r="E14" i="16"/>
  <c r="F14" i="16"/>
  <c r="G14" i="16"/>
  <c r="H14" i="16"/>
  <c r="E36" i="16"/>
  <c r="F36" i="16"/>
  <c r="E31" i="16"/>
  <c r="F31" i="16"/>
  <c r="E24" i="16"/>
  <c r="F24" i="16"/>
  <c r="L62" i="14"/>
  <c r="L63" i="14"/>
  <c r="L64" i="14"/>
  <c r="L65" i="14"/>
  <c r="L61" i="14"/>
  <c r="F32" i="20" l="1"/>
  <c r="E32" i="20"/>
  <c r="F25" i="16"/>
  <c r="F33" i="16" s="1"/>
  <c r="E25" i="16"/>
  <c r="E33" i="16" s="1"/>
  <c r="F7" i="9" l="1"/>
  <c r="J7" i="9"/>
  <c r="R9" i="7"/>
  <c r="Q9" i="7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J157" i="2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F6" i="9" l="1"/>
  <c r="J6" i="9"/>
  <c r="J151" i="2"/>
  <c r="J152" i="2" s="1"/>
  <c r="J153" i="2" s="1"/>
  <c r="J154" i="2" s="1"/>
  <c r="J155" i="2" s="1"/>
  <c r="J156" i="2" s="1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K13" i="20" l="1"/>
  <c r="K3" i="20"/>
  <c r="J3" i="20"/>
  <c r="J13" i="20" s="1"/>
  <c r="I3" i="20"/>
  <c r="I13" i="20" s="1"/>
  <c r="I14" i="16"/>
  <c r="K14" i="16"/>
  <c r="J14" i="16"/>
  <c r="J5" i="9"/>
  <c r="F5" i="9"/>
  <c r="G64" i="18"/>
  <c r="G63" i="18"/>
  <c r="G62" i="18"/>
  <c r="G61" i="18"/>
  <c r="G60" i="18"/>
  <c r="G59" i="18"/>
  <c r="E58" i="18"/>
  <c r="E57" i="18"/>
  <c r="E56" i="18"/>
  <c r="G56" i="18" s="1"/>
  <c r="E55" i="18"/>
  <c r="E54" i="18"/>
  <c r="G54" i="18" s="1"/>
  <c r="G58" i="18"/>
  <c r="G53" i="18"/>
  <c r="G55" i="18"/>
  <c r="G57" i="18"/>
  <c r="E53" i="18"/>
  <c r="J106" i="2" l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05" i="2"/>
  <c r="M29" i="20"/>
  <c r="P25" i="20"/>
  <c r="O25" i="20"/>
  <c r="N25" i="20"/>
  <c r="P13" i="20"/>
  <c r="O13" i="20"/>
  <c r="N13" i="20"/>
  <c r="M13" i="20"/>
  <c r="L13" i="20"/>
  <c r="Q14" i="16"/>
  <c r="T14" i="16"/>
  <c r="S14" i="16"/>
  <c r="L14" i="16"/>
  <c r="P14" i="16" l="1"/>
  <c r="O14" i="16"/>
  <c r="N14" i="16"/>
  <c r="M14" i="16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29" i="18"/>
  <c r="G30" i="18"/>
  <c r="G31" i="18"/>
  <c r="G32" i="18"/>
  <c r="G33" i="18"/>
  <c r="G34" i="18"/>
  <c r="G35" i="18"/>
  <c r="G36" i="18"/>
  <c r="G37" i="18"/>
  <c r="G38" i="18"/>
  <c r="J100" i="2"/>
  <c r="J101" i="2" s="1"/>
  <c r="T65" i="20" l="1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K66" i="20" s="1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U45" i="20"/>
  <c r="T45" i="20"/>
  <c r="S55" i="20"/>
  <c r="S56" i="20" s="1"/>
  <c r="H29" i="20" l="1"/>
  <c r="I29" i="20"/>
  <c r="J29" i="20"/>
  <c r="K29" i="20"/>
  <c r="L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K32" i="20" s="1"/>
  <c r="G29" i="20"/>
  <c r="U25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U13" i="20"/>
  <c r="S13" i="20"/>
  <c r="U32" i="20" l="1"/>
  <c r="V31" i="16"/>
  <c r="V24" i="16"/>
  <c r="V14" i="16"/>
  <c r="U24" i="16"/>
  <c r="T24" i="16"/>
  <c r="S24" i="16"/>
  <c r="U14" i="16"/>
  <c r="N24" i="16"/>
  <c r="N31" i="16"/>
  <c r="N36" i="16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42" i="14"/>
  <c r="K8" i="12"/>
  <c r="K9" i="12"/>
  <c r="K6" i="12"/>
  <c r="K5" i="12"/>
  <c r="K2" i="12"/>
  <c r="K3" i="12"/>
  <c r="K11" i="12"/>
  <c r="K63" i="2"/>
  <c r="K62" i="2"/>
  <c r="K61" i="2"/>
  <c r="K60" i="2"/>
  <c r="K58" i="2"/>
  <c r="K56" i="2"/>
  <c r="K54" i="2"/>
  <c r="K53" i="2"/>
  <c r="F28" i="18"/>
  <c r="G28" i="18" s="1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J7" i="3"/>
  <c r="V25" i="16" l="1"/>
  <c r="V33" i="16" s="1"/>
  <c r="J65" i="2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53" i="2" l="1"/>
  <c r="J54" i="2" s="1"/>
  <c r="J55" i="2" s="1"/>
  <c r="J56" i="2" s="1"/>
  <c r="J57" i="2" s="1"/>
  <c r="AI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S66" i="20" s="1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T55" i="20"/>
  <c r="T56" i="20" s="1"/>
  <c r="U55" i="20"/>
  <c r="U56" i="20" s="1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J55" i="20"/>
  <c r="AI46" i="20"/>
  <c r="AI55" i="20" s="1"/>
  <c r="G45" i="20"/>
  <c r="H45" i="20"/>
  <c r="I45" i="20"/>
  <c r="J45" i="20"/>
  <c r="K45" i="20"/>
  <c r="L45" i="20"/>
  <c r="M45" i="20"/>
  <c r="N45" i="20"/>
  <c r="O45" i="20"/>
  <c r="P45" i="20"/>
  <c r="Q45" i="20"/>
  <c r="R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G25" i="20"/>
  <c r="H25" i="20"/>
  <c r="I25" i="20"/>
  <c r="J25" i="20"/>
  <c r="K25" i="20"/>
  <c r="K32" i="20" s="1"/>
  <c r="L25" i="20"/>
  <c r="L32" i="20" s="1"/>
  <c r="M25" i="20"/>
  <c r="M32" i="20" s="1"/>
  <c r="N32" i="20"/>
  <c r="Q25" i="20"/>
  <c r="R25" i="20"/>
  <c r="S25" i="20"/>
  <c r="S32" i="20" s="1"/>
  <c r="T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G13" i="20"/>
  <c r="H13" i="20"/>
  <c r="Q13" i="20"/>
  <c r="R13" i="20"/>
  <c r="T13" i="20"/>
  <c r="V13" i="20"/>
  <c r="V32" i="20" s="1"/>
  <c r="W13" i="20"/>
  <c r="W32" i="20" s="1"/>
  <c r="X13" i="20"/>
  <c r="X32" i="20" s="1"/>
  <c r="Y13" i="20"/>
  <c r="Z13" i="20"/>
  <c r="AA13" i="20"/>
  <c r="AB13" i="20"/>
  <c r="AC13" i="20"/>
  <c r="AD13" i="20"/>
  <c r="AD32" i="20" s="1"/>
  <c r="AE13" i="20"/>
  <c r="AE32" i="20" s="1"/>
  <c r="AF13" i="20"/>
  <c r="AF32" i="20" s="1"/>
  <c r="AG13" i="20"/>
  <c r="AH13" i="20"/>
  <c r="AI13" i="20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22" i="14"/>
  <c r="H10" i="18"/>
  <c r="I10" i="18" s="1"/>
  <c r="H9" i="18"/>
  <c r="H8" i="18"/>
  <c r="I12" i="18"/>
  <c r="I8" i="18"/>
  <c r="E11" i="18"/>
  <c r="G11" i="18" s="1"/>
  <c r="I11" i="18" s="1"/>
  <c r="E10" i="18"/>
  <c r="G10" i="18" s="1"/>
  <c r="G12" i="18"/>
  <c r="G13" i="18"/>
  <c r="I13" i="18" s="1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E9" i="18"/>
  <c r="G9" i="18" s="1"/>
  <c r="I9" i="18" s="1"/>
  <c r="G8" i="18"/>
  <c r="E8" i="18"/>
  <c r="G56" i="20" l="1"/>
  <c r="G66" i="20" s="1"/>
  <c r="T66" i="20"/>
  <c r="AC56" i="20"/>
  <c r="Q66" i="20"/>
  <c r="AI56" i="20"/>
  <c r="AB56" i="20"/>
  <c r="AB66" i="20" s="1"/>
  <c r="AF56" i="20"/>
  <c r="AF66" i="20" s="1"/>
  <c r="X56" i="20"/>
  <c r="X66" i="20" s="1"/>
  <c r="AE66" i="20"/>
  <c r="AE56" i="20"/>
  <c r="W56" i="20"/>
  <c r="W66" i="20" s="1"/>
  <c r="V66" i="20"/>
  <c r="AI66" i="20"/>
  <c r="Z66" i="20"/>
  <c r="AD56" i="20"/>
  <c r="AD66" i="20" s="1"/>
  <c r="V56" i="20"/>
  <c r="AC66" i="20"/>
  <c r="U66" i="20"/>
  <c r="M56" i="20"/>
  <c r="M66" i="20" s="1"/>
  <c r="L56" i="20"/>
  <c r="L66" i="20" s="1"/>
  <c r="N56" i="20"/>
  <c r="N66" i="20" s="1"/>
  <c r="O56" i="20"/>
  <c r="O66" i="20" s="1"/>
  <c r="J58" i="2"/>
  <c r="J59" i="2" s="1"/>
  <c r="J60" i="2" s="1"/>
  <c r="J61" i="2" s="1"/>
  <c r="J62" i="2" s="1"/>
  <c r="J63" i="2" s="1"/>
  <c r="J64" i="2" s="1"/>
  <c r="AA56" i="20"/>
  <c r="AA66" i="20" s="1"/>
  <c r="K56" i="20"/>
  <c r="K66" i="20" s="1"/>
  <c r="AC32" i="20"/>
  <c r="T32" i="20"/>
  <c r="AH56" i="20"/>
  <c r="AH66" i="20" s="1"/>
  <c r="Z56" i="20"/>
  <c r="R56" i="20"/>
  <c r="R66" i="20" s="1"/>
  <c r="J56" i="20"/>
  <c r="J66" i="20" s="1"/>
  <c r="AB32" i="20"/>
  <c r="AG56" i="20"/>
  <c r="AG66" i="20" s="1"/>
  <c r="Y56" i="20"/>
  <c r="Y66" i="20" s="1"/>
  <c r="Q56" i="20"/>
  <c r="I56" i="20"/>
  <c r="I66" i="20" s="1"/>
  <c r="P56" i="20"/>
  <c r="P66" i="20" s="1"/>
  <c r="H56" i="20"/>
  <c r="H66" i="20" s="1"/>
  <c r="AA32" i="20"/>
  <c r="R32" i="20"/>
  <c r="J32" i="20"/>
  <c r="Q32" i="20"/>
  <c r="I32" i="20"/>
  <c r="AI32" i="20"/>
  <c r="AH32" i="20"/>
  <c r="Z32" i="20"/>
  <c r="P32" i="20"/>
  <c r="H32" i="20"/>
  <c r="AG32" i="20"/>
  <c r="Y32" i="20"/>
  <c r="O32" i="20"/>
  <c r="G32" i="20"/>
  <c r="J39" i="2"/>
  <c r="J40" i="2" s="1"/>
  <c r="J41" i="2" s="1"/>
  <c r="J42" i="2" s="1"/>
  <c r="J43" i="2" s="1"/>
  <c r="J44" i="2" s="1"/>
  <c r="J45" i="2" s="1"/>
  <c r="J46" i="2" l="1"/>
  <c r="J47" i="2" s="1"/>
  <c r="J48" i="2" s="1"/>
  <c r="J49" i="2" s="1"/>
  <c r="J50" i="2" s="1"/>
  <c r="J51" i="2" s="1"/>
  <c r="J52" i="2" s="1"/>
  <c r="AJ61" i="20"/>
  <c r="AJ66" i="20" s="1"/>
  <c r="AJ45" i="20"/>
  <c r="AJ56" i="20" s="1"/>
  <c r="AJ25" i="20"/>
  <c r="AJ13" i="20"/>
  <c r="AJ32" i="20" s="1"/>
  <c r="G36" i="16" l="1"/>
  <c r="H36" i="16"/>
  <c r="I36" i="16"/>
  <c r="J36" i="16"/>
  <c r="K36" i="16"/>
  <c r="L36" i="16"/>
  <c r="M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J31" i="16"/>
  <c r="G31" i="16"/>
  <c r="H31" i="16"/>
  <c r="I31" i="16"/>
  <c r="J31" i="16"/>
  <c r="K31" i="16"/>
  <c r="L31" i="16"/>
  <c r="M31" i="16"/>
  <c r="O31" i="16"/>
  <c r="P31" i="16"/>
  <c r="Q31" i="16"/>
  <c r="R31" i="16"/>
  <c r="S31" i="16"/>
  <c r="T31" i="16"/>
  <c r="U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I24" i="16"/>
  <c r="AK24" i="16" l="1"/>
  <c r="AJ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U25" i="16"/>
  <c r="U33" i="16" s="1"/>
  <c r="T25" i="16"/>
  <c r="T33" i="16" s="1"/>
  <c r="S25" i="16"/>
  <c r="S33" i="16" s="1"/>
  <c r="R24" i="16"/>
  <c r="Q25" i="16"/>
  <c r="Q33" i="16" s="1"/>
  <c r="P24" i="16"/>
  <c r="P25" i="16" s="1"/>
  <c r="P33" i="16" s="1"/>
  <c r="O24" i="16"/>
  <c r="O25" i="16" s="1"/>
  <c r="O33" i="16" s="1"/>
  <c r="M24" i="16"/>
  <c r="L24" i="16"/>
  <c r="K24" i="16"/>
  <c r="J24" i="16"/>
  <c r="I24" i="16"/>
  <c r="H24" i="16"/>
  <c r="AK14" i="16"/>
  <c r="AJ14" i="16"/>
  <c r="AI14" i="16"/>
  <c r="AI25" i="16" s="1"/>
  <c r="AI33" i="16" s="1"/>
  <c r="AH14" i="16"/>
  <c r="AG14" i="16"/>
  <c r="AF14" i="16"/>
  <c r="AE14" i="16"/>
  <c r="AD14" i="16"/>
  <c r="AC14" i="16"/>
  <c r="AB14" i="16"/>
  <c r="AA14" i="16"/>
  <c r="Z14" i="16"/>
  <c r="Y14" i="16"/>
  <c r="Y25" i="16" s="1"/>
  <c r="Y33" i="16" s="1"/>
  <c r="X14" i="16"/>
  <c r="W14" i="16"/>
  <c r="R14" i="16"/>
  <c r="N25" i="16"/>
  <c r="N33" i="16" s="1"/>
  <c r="H25" i="16"/>
  <c r="H33" i="16" s="1"/>
  <c r="G25" i="16"/>
  <c r="G33" i="16" s="1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J14" i="2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7" i="2"/>
  <c r="J8" i="2" s="1"/>
  <c r="AJ25" i="16" l="1"/>
  <c r="AJ33" i="16" s="1"/>
  <c r="AK25" i="16"/>
  <c r="AK31" i="16" s="1"/>
  <c r="Z25" i="16"/>
  <c r="Z33" i="16" s="1"/>
  <c r="AB25" i="16"/>
  <c r="AB33" i="16" s="1"/>
  <c r="I25" i="16"/>
  <c r="I33" i="16" s="1"/>
  <c r="J25" i="16"/>
  <c r="J33" i="16" s="1"/>
  <c r="R25" i="16"/>
  <c r="R33" i="16" s="1"/>
  <c r="AA25" i="16"/>
  <c r="AA33" i="16" s="1"/>
  <c r="K25" i="16"/>
  <c r="K33" i="16" s="1"/>
  <c r="W25" i="16"/>
  <c r="W33" i="16" s="1"/>
  <c r="AE25" i="16"/>
  <c r="AE33" i="16" s="1"/>
  <c r="AC25" i="16"/>
  <c r="AC33" i="16" s="1"/>
  <c r="AD25" i="16"/>
  <c r="AD33" i="16" s="1"/>
  <c r="L25" i="16"/>
  <c r="L33" i="16" s="1"/>
  <c r="X25" i="16"/>
  <c r="X33" i="16" s="1"/>
  <c r="AF25" i="16"/>
  <c r="AF33" i="16" s="1"/>
  <c r="M25" i="16"/>
  <c r="M33" i="16" s="1"/>
  <c r="AG25" i="16"/>
  <c r="AG33" i="16" s="1"/>
  <c r="AH25" i="16"/>
  <c r="AH3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tc={0FA35AC4-F1C9-47D0-9067-67BD6AC2B3EA}</author>
    <author>tc={D4226FF7-AE68-47AB-A234-413C409605C7}</author>
  </authors>
  <commentList>
    <comment ref="Q24" authorId="0" shapeId="0" xr:uid="{0FA35AC4-F1C9-47D0-9067-67BD6AC2B3EA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a lot. Actual sum is 3,254,933</t>
      </text>
    </comment>
    <comment ref="U24" authorId="1" shapeId="0" xr:uid="{D4226FF7-AE68-47AB-A234-413C409605C7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$1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tc={DA493DE3-9F8B-48A4-AE94-525480C634D5}</author>
    <author>tc={818312F1-35D4-4A25-80E5-D9B6289BF35A}</author>
    <author>tc={EED22A8E-D2CE-4104-92FA-01D80D94C0A4}</author>
  </authors>
  <commentList>
    <comment ref="S45" authorId="0" shapeId="0" xr:uid="{DA493DE3-9F8B-48A4-AE94-525480C634D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1</t>
      </text>
    </comment>
    <comment ref="T45" authorId="1" shapeId="0" xr:uid="{818312F1-35D4-4A25-80E5-D9B6289B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1</t>
      </text>
    </comment>
    <comment ref="U45" authorId="2" shapeId="0" xr:uid="{EED22A8E-D2CE-4104-92FA-01D80D94C0A4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by one</t>
      </text>
    </comment>
  </commentList>
</comments>
</file>

<file path=xl/sharedStrings.xml><?xml version="1.0" encoding="utf-8"?>
<sst xmlns="http://schemas.openxmlformats.org/spreadsheetml/2006/main" count="4943" uniqueCount="554">
  <si>
    <t>PWSID</t>
  </si>
  <si>
    <t>Name</t>
  </si>
  <si>
    <t>OSYear</t>
  </si>
  <si>
    <t>amount</t>
  </si>
  <si>
    <t>startYear</t>
  </si>
  <si>
    <t>endYear</t>
  </si>
  <si>
    <t>aveRate</t>
  </si>
  <si>
    <t>currentRemaining</t>
  </si>
  <si>
    <t>payments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</si>
  <si>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</si>
  <si>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</si>
  <si>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</si>
  <si>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</si>
  <si>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</si>
  <si>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</si>
  <si>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</si>
  <si>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</si>
  <si>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</si>
  <si>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</si>
  <si>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</si>
  <si>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</si>
  <si>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</si>
  <si>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</si>
  <si>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</si>
  <si>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</si>
  <si>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</si>
  <si>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</si>
  <si>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</si>
  <si>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</si>
  <si>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</si>
  <si>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</si>
  <si>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</si>
  <si>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</si>
  <si>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</si>
  <si>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</si>
  <si>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</si>
  <si>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</si>
  <si>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</si>
  <si>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</si>
  <si>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</si>
  <si>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</si>
  <si>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</si>
  <si>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</si>
  <si>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</si>
  <si>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</si>
  <si>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</si>
  <si>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</si>
  <si>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</si>
  <si>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</si>
  <si>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</si>
  <si>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</si>
  <si>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</si>
  <si>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</si>
  <si>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</si>
  <si>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</si>
  <si>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</si>
  <si>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</si>
  <si>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</si>
  <si>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</si>
  <si>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</si>
  <si>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</si>
  <si>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</si>
  <si>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</si>
  <si>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</si>
  <si>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</si>
  <si>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</si>
  <si>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</si>
  <si>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</si>
  <si>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</si>
  <si>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Total Operating Revenues</t>
  </si>
  <si>
    <t>Expenses</t>
  </si>
  <si>
    <t>Total Operating Expenses</t>
  </si>
  <si>
    <t>Other Income and (Expense)</t>
  </si>
  <si>
    <t>Revenue - Expense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</si>
  <si>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</si>
  <si>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</si>
  <si>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</si>
  <si>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</si>
  <si>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</si>
  <si>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</si>
  <si>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</si>
  <si>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</si>
  <si>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y2018</t>
  </si>
  <si>
    <t>Put any interesting about utility development, finances, etc. here</t>
  </si>
  <si>
    <t>document</t>
  </si>
  <si>
    <t>page</t>
  </si>
  <si>
    <t>description</t>
  </si>
  <si>
    <t>Also list the document and page number of interesting information so we can find it later.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</si>
  <si>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</si>
  <si>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</si>
  <si>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</si>
  <si>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</si>
  <si>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</si>
  <si>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</si>
  <si>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</si>
  <si>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</si>
  <si>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</si>
  <si>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</si>
  <si>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</si>
  <si>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</si>
  <si>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</si>
  <si>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</si>
  <si>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</si>
  <si>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</si>
  <si>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</si>
  <si>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</si>
  <si>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</si>
  <si>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</si>
  <si>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</si>
  <si>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</si>
  <si>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</si>
  <si>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netIncome</t>
  </si>
  <si>
    <t>surplus</t>
  </si>
  <si>
    <t>principalInterest</t>
  </si>
  <si>
    <t>debtServCovNet</t>
  </si>
  <si>
    <t>debtServCovTotal</t>
  </si>
  <si>
    <t>principal</t>
  </si>
  <si>
    <t>total</t>
  </si>
  <si>
    <t>otherDebt</t>
  </si>
  <si>
    <t>totalDebtService</t>
  </si>
  <si>
    <t>members</t>
  </si>
  <si>
    <t>office</t>
  </si>
  <si>
    <t>termExpire</t>
  </si>
  <si>
    <t>municipality</t>
  </si>
  <si>
    <t>taxingPower</t>
  </si>
  <si>
    <t>areaMi2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</si>
  <si>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</si>
  <si>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</si>
  <si>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</si>
  <si>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</si>
  <si>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</si>
  <si>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</si>
  <si>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</si>
  <si>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</si>
  <si>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groupBy</t>
  </si>
  <si>
    <t>class</t>
  </si>
  <si>
    <t>tier</t>
  </si>
  <si>
    <t>location</t>
  </si>
  <si>
    <t>volume_MGD</t>
  </si>
  <si>
    <t>annual_MG</t>
  </si>
  <si>
    <t>grossPercent</t>
  </si>
  <si>
    <t>adjustedPercent</t>
  </si>
  <si>
    <t>method</t>
  </si>
  <si>
    <t>customer</t>
  </si>
  <si>
    <t>gallons</t>
  </si>
  <si>
    <t>revenue</t>
  </si>
  <si>
    <t>percentGal</t>
  </si>
  <si>
    <t>percentRev</t>
  </si>
  <si>
    <t>rateYear</t>
  </si>
  <si>
    <t>yearSet</t>
  </si>
  <si>
    <t>billFrequency</t>
  </si>
  <si>
    <t>charges</t>
  </si>
  <si>
    <t>chargeType</t>
  </si>
  <si>
    <t>classUnit</t>
  </si>
  <si>
    <t>gallonsIncluded</t>
  </si>
  <si>
    <t>cost</t>
  </si>
  <si>
    <t>costUnit</t>
  </si>
  <si>
    <t>uncollected</t>
  </si>
  <si>
    <t>percentCollected</t>
  </si>
  <si>
    <t>dateOffline</t>
  </si>
  <si>
    <t>Current Assets</t>
  </si>
  <si>
    <t>Restricted Assets</t>
  </si>
  <si>
    <t>Fixed Assets</t>
  </si>
  <si>
    <t>Other Assets</t>
  </si>
  <si>
    <t>Total Assets</t>
  </si>
  <si>
    <t>Current Liabilities</t>
  </si>
  <si>
    <t>Longterm Liabilities</t>
  </si>
  <si>
    <t>Total Liabilities</t>
  </si>
  <si>
    <t>Fund Equity</t>
  </si>
  <si>
    <t>Total Liabilities and Fund Equity</t>
  </si>
  <si>
    <t>rateCovenantCurrent</t>
  </si>
  <si>
    <t>rateCovenantTotal</t>
  </si>
  <si>
    <t>debtSRF</t>
  </si>
  <si>
    <t>ratesApproval</t>
  </si>
  <si>
    <t>openLoop</t>
  </si>
  <si>
    <t>otherClass</t>
  </si>
  <si>
    <t>peak_MGD</t>
  </si>
  <si>
    <t>percentUse</t>
  </si>
  <si>
    <t>SKIP FOR NOW</t>
  </si>
  <si>
    <t>PA5040006</t>
  </si>
  <si>
    <t>Municipal Water Authority of Aliquippa</t>
  </si>
  <si>
    <t>Both</t>
  </si>
  <si>
    <t>AA</t>
  </si>
  <si>
    <t>A</t>
  </si>
  <si>
    <t>semi-annual</t>
  </si>
  <si>
    <t>NA</t>
  </si>
  <si>
    <t>A/Stable</t>
  </si>
  <si>
    <t xml:space="preserve">125% of the average annual debt requirements </t>
  </si>
  <si>
    <t>no</t>
  </si>
  <si>
    <t>Municipal Assurance Corp.</t>
  </si>
  <si>
    <t>Maturity Schedule</t>
  </si>
  <si>
    <t>Nov</t>
  </si>
  <si>
    <t>-</t>
  </si>
  <si>
    <t>Official Statement_2019</t>
  </si>
  <si>
    <t>The maturity schedule is missing a bunch of years, as is the mandatory redemption</t>
  </si>
  <si>
    <t>Mandatory Redemption</t>
  </si>
  <si>
    <t>Construction Fund Deposit</t>
  </si>
  <si>
    <t>capitalized interest</t>
  </si>
  <si>
    <t>debt service reserve fund contribution/surety</t>
  </si>
  <si>
    <t>costs of issuance</t>
  </si>
  <si>
    <t>Water and Sewer Revenue Bonds, Series of 2017</t>
  </si>
  <si>
    <t>bond</t>
  </si>
  <si>
    <t>to refund, retire, or defease all of the exisiting debt of the authority, including a vehicle loan, a Pennvest loan, and bonds issued in 1998, 2003, and 2013</t>
  </si>
  <si>
    <t>Water and Sewer Revenue Bonds, Series of 2018</t>
  </si>
  <si>
    <t>capital projects, and capitalized interests on the 2018 bonds</t>
  </si>
  <si>
    <t>2023-2026</t>
  </si>
  <si>
    <t>Matthew J. Mottes</t>
  </si>
  <si>
    <t>Chairman</t>
  </si>
  <si>
    <t>Robert Steffes</t>
  </si>
  <si>
    <t>Vice Chairman</t>
  </si>
  <si>
    <t>Jason Stauffer</t>
  </si>
  <si>
    <t>Treasurer</t>
  </si>
  <si>
    <t>Wilbur Moreland</t>
  </si>
  <si>
    <t>Secretary</t>
  </si>
  <si>
    <t>William Lawbough</t>
  </si>
  <si>
    <t>Assistant Secretary/Treasurer</t>
  </si>
  <si>
    <t>Robert J. Bible</t>
  </si>
  <si>
    <t>Authority</t>
  </si>
  <si>
    <t>None</t>
  </si>
  <si>
    <t>Beaver</t>
  </si>
  <si>
    <t>There were two statistics for population served. The other number of 13,892</t>
  </si>
  <si>
    <t>Aliquippa</t>
  </si>
  <si>
    <t xml:space="preserve">Hopewell </t>
  </si>
  <si>
    <t>Township</t>
  </si>
  <si>
    <t>Water</t>
  </si>
  <si>
    <t>Raccoon</t>
  </si>
  <si>
    <t>Potter</t>
  </si>
  <si>
    <t>Center Township Water Authority System</t>
  </si>
  <si>
    <t>It only mentions that there is a ready interconnect. No info on its use.</t>
  </si>
  <si>
    <t>Groundwater</t>
  </si>
  <si>
    <t>Well 14</t>
  </si>
  <si>
    <t>well</t>
  </si>
  <si>
    <t>Well 18</t>
  </si>
  <si>
    <t>motor failed in 2018</t>
  </si>
  <si>
    <t>motor replaced in 2018</t>
  </si>
  <si>
    <t>Well 25</t>
  </si>
  <si>
    <t>Well 26</t>
  </si>
  <si>
    <t>cleaned and new pumps installed 2018</t>
  </si>
  <si>
    <t>Well 27</t>
  </si>
  <si>
    <t>Well 28</t>
  </si>
  <si>
    <t>Ranney well</t>
  </si>
  <si>
    <t>scheduled to be clean</t>
  </si>
  <si>
    <t>Collector well</t>
  </si>
  <si>
    <t>pump was rebuilt in 2018</t>
  </si>
  <si>
    <t>Treated Water</t>
  </si>
  <si>
    <t>Entire</t>
  </si>
  <si>
    <t>Total</t>
  </si>
  <si>
    <t>combined average of 2,994,950 gal withdrawn per day</t>
  </si>
  <si>
    <t>9.678 MG total capacity</t>
  </si>
  <si>
    <t>Sewer</t>
  </si>
  <si>
    <t>Customer</t>
  </si>
  <si>
    <t>Residential</t>
  </si>
  <si>
    <t>Commercial/Industrial</t>
  </si>
  <si>
    <t>=metered water/total finished water</t>
  </si>
  <si>
    <t>estimated from graph "Historic Water Sales and Finished Water Produced" on page 74 of pdf</t>
  </si>
  <si>
    <t>USG</t>
  </si>
  <si>
    <t>Linmar Homes</t>
  </si>
  <si>
    <t>Aliquippa Valley</t>
  </si>
  <si>
    <t>Beaver County Jail</t>
  </si>
  <si>
    <t>Aliquippa School District</t>
  </si>
  <si>
    <t>Hyman Group</t>
  </si>
  <si>
    <t>Brunton Dairy</t>
  </si>
  <si>
    <t>Precision Kidd</t>
  </si>
  <si>
    <t>Mt. Vernon</t>
  </si>
  <si>
    <t>Hopewell Township</t>
  </si>
  <si>
    <t>Housing Authority</t>
  </si>
  <si>
    <t>Maple Valley</t>
  </si>
  <si>
    <t>Versatex</t>
  </si>
  <si>
    <t>Manufacturing</t>
  </si>
  <si>
    <t>Apartment?</t>
  </si>
  <si>
    <t>Prison</t>
  </si>
  <si>
    <t>School</t>
  </si>
  <si>
    <t>Apartment</t>
  </si>
  <si>
    <t>Farm</t>
  </si>
  <si>
    <t>Municipality</t>
  </si>
  <si>
    <t>Mobile Home</t>
  </si>
  <si>
    <t>=revenue collected relative to total operating revenue</t>
  </si>
  <si>
    <t>consumption charge</t>
  </si>
  <si>
    <t>flat fee</t>
  </si>
  <si>
    <t>&gt;6000</t>
  </si>
  <si>
    <t>per thousand gallons</t>
  </si>
  <si>
    <t>&gt;60000</t>
  </si>
  <si>
    <t>**does not include the water estimated for maintenance and plant use</t>
  </si>
  <si>
    <t>quarterly</t>
  </si>
  <si>
    <t>a rate increase is expected for the 2019 fiscal year</t>
  </si>
  <si>
    <t>Domestic</t>
  </si>
  <si>
    <t>Commerical</t>
  </si>
  <si>
    <t>Industrial</t>
  </si>
  <si>
    <t>Sales to public</t>
  </si>
  <si>
    <t>Fire protection</t>
  </si>
  <si>
    <t>sales to public authorities and other utilities</t>
  </si>
  <si>
    <t>customer penalties</t>
  </si>
  <si>
    <t>turn on charges and nsf checks</t>
  </si>
  <si>
    <t>tap fees</t>
  </si>
  <si>
    <t>-w = water</t>
  </si>
  <si>
    <t>-s = sewer</t>
  </si>
  <si>
    <t>Source of supply</t>
  </si>
  <si>
    <t>Power and pumping</t>
  </si>
  <si>
    <t>Purification and laboratory</t>
  </si>
  <si>
    <t>sewage treatment</t>
  </si>
  <si>
    <t>transmission and distribution</t>
  </si>
  <si>
    <t>accounting and collection</t>
  </si>
  <si>
    <t>General and administrative</t>
  </si>
  <si>
    <t>Depreciation</t>
  </si>
  <si>
    <t>Receivables (net of doubtful accounts)</t>
  </si>
  <si>
    <t>Inventory - Plant Materials</t>
  </si>
  <si>
    <t>Prepaid Expenses</t>
  </si>
  <si>
    <t>Investments</t>
  </si>
  <si>
    <t>Investment in facilities</t>
  </si>
  <si>
    <t>Work in Progress</t>
  </si>
  <si>
    <t>Less: Accumulated Depreciation</t>
  </si>
  <si>
    <t>Deferred Outflow Related to Pension</t>
  </si>
  <si>
    <t>Deferred Outflow</t>
  </si>
  <si>
    <t>Deferred Inflow</t>
  </si>
  <si>
    <t>Deferred Inflow Related to Pension</t>
  </si>
  <si>
    <t>Accounts Payable</t>
  </si>
  <si>
    <t>Payroll Withholding</t>
  </si>
  <si>
    <t>Customer Deposits</t>
  </si>
  <si>
    <t>Accrued Intersted Payable - Bonds</t>
  </si>
  <si>
    <t>Current Portion - Long Term Debt</t>
  </si>
  <si>
    <t xml:space="preserve">Revenue Bonds Payable </t>
  </si>
  <si>
    <t>Unamortized Bond Premium</t>
  </si>
  <si>
    <t>Net Pension Liability (Asset)</t>
  </si>
  <si>
    <t>Less: Current Portion Long Term Debt</t>
  </si>
  <si>
    <t>Less: Unamortized Loss on Early Retirement of Debt</t>
  </si>
  <si>
    <t>Net Position</t>
  </si>
  <si>
    <t>Net Investment in Capital Assets</t>
  </si>
  <si>
    <t>Restricted</t>
  </si>
  <si>
    <t>Unrestricted</t>
  </si>
  <si>
    <t>Total Net Position</t>
  </si>
  <si>
    <t>overcollected</t>
  </si>
  <si>
    <t>Official Statement_2018</t>
  </si>
  <si>
    <t>If the payment schedule is semi-annual, but the maturity schedule only shows Nov 15 as the payment, am I missing something in the maturity schedule document?</t>
  </si>
  <si>
    <t>Water and Sewer Revenue Bonds, Series 2017</t>
  </si>
  <si>
    <t>longtermdebt tab</t>
  </si>
  <si>
    <t>106 of 2018 OS</t>
  </si>
  <si>
    <t>Is this the right table I should be grabbing numbers from??</t>
  </si>
  <si>
    <t>repaired</t>
  </si>
  <si>
    <t>renovations currently under construction</t>
  </si>
  <si>
    <t>Metered Consumption</t>
  </si>
  <si>
    <t>Gallons per quarter</t>
  </si>
  <si>
    <t>rates tab</t>
  </si>
  <si>
    <t>When it is from 0-6000 gallons usage, which number should I record? 0 or 6000?</t>
  </si>
  <si>
    <t>Cash and Cash equivalents</t>
  </si>
  <si>
    <t>2022-2026</t>
  </si>
  <si>
    <t>Other debt is from Pennvest and from Wesbanco</t>
  </si>
  <si>
    <t>There were two statistics for population served. The other number of 10,300</t>
  </si>
  <si>
    <t>5 Wells</t>
  </si>
  <si>
    <t>Before 2014, these wells were treated as backup wells. This was changed due to PaDEP rule</t>
  </si>
  <si>
    <t>metered sales</t>
  </si>
  <si>
    <t>Limnar Homes</t>
  </si>
  <si>
    <t>Loans Payable - Pennvest</t>
  </si>
  <si>
    <t>Other Loans and Leases Payable</t>
  </si>
  <si>
    <t>annual</t>
  </si>
  <si>
    <t>Radian Asset Assurance Inc</t>
  </si>
  <si>
    <t>May</t>
  </si>
  <si>
    <t>amount required to redeem the 1998 bonds</t>
  </si>
  <si>
    <t>amount required to redeem the 2001 Pennvest</t>
  </si>
  <si>
    <t>amount required to redeem the 2013 Notes</t>
  </si>
  <si>
    <t>11/15/2017 D/S payment on the 2013 bonds</t>
  </si>
  <si>
    <t>refund the authority's series of 1994 bonds</t>
  </si>
  <si>
    <t>capital projects</t>
  </si>
  <si>
    <t>loan</t>
  </si>
  <si>
    <t>Pennvest - 21,440 per month through Jan 2007, and 23691.87 thereafter through maturity</t>
  </si>
  <si>
    <t xml:space="preserve">Pennvest </t>
  </si>
  <si>
    <t>Water and Sewer Revenue Bond</t>
  </si>
  <si>
    <t>Water and Sewer Revenue Bonds, Series of 2003</t>
  </si>
  <si>
    <t xml:space="preserve">issued in denominations of $5000 </t>
  </si>
  <si>
    <t>Water and Sewer Revenue Bonds - Series of 2013</t>
  </si>
  <si>
    <t>Wesbanco loan</t>
  </si>
  <si>
    <t>for two F-150 trucks</t>
  </si>
  <si>
    <t>2013 Bond</t>
  </si>
  <si>
    <t>A 2013 bond document exists somewhere, but it was not on emma.msrb for some reason</t>
  </si>
  <si>
    <t>1989 Pennvest loan</t>
  </si>
  <si>
    <t>1992 Pennvest loan</t>
  </si>
  <si>
    <t>1994 Pennvest loan</t>
  </si>
  <si>
    <t>1995 Pennvest loan</t>
  </si>
  <si>
    <t>2001 Pennvest loan</t>
  </si>
  <si>
    <t>Water and Sewer Revenue Bonds, Series of 1994</t>
  </si>
  <si>
    <t>I believe they are using the 2003 bonds to refund these bonds ("The authority proposes to refund the Prior Bonds by applying to such purposes certain cash proceeds of the Bonds.")</t>
  </si>
  <si>
    <t>Debt just from current bond document</t>
  </si>
  <si>
    <t>William Cellini</t>
  </si>
  <si>
    <t>Daniel Casoli</t>
  </si>
  <si>
    <t>Herbert DeChellis</t>
  </si>
  <si>
    <t>James Downing</t>
  </si>
  <si>
    <t>Marquis Henderson</t>
  </si>
  <si>
    <t>Eugene Smith, Jr</t>
  </si>
  <si>
    <t>two radial collector wells</t>
  </si>
  <si>
    <t>5 verical wells</t>
  </si>
  <si>
    <t>for reserve capacity</t>
  </si>
  <si>
    <t>Capacity</t>
  </si>
  <si>
    <t>United States Gypsum</t>
  </si>
  <si>
    <t>Housing Authority of Beaver County</t>
  </si>
  <si>
    <t>Valley Terrace Apartments</t>
  </si>
  <si>
    <t>Aliquippa Community Hospital</t>
  </si>
  <si>
    <t>Hospital</t>
  </si>
  <si>
    <t>Woodlawn Laundry</t>
  </si>
  <si>
    <t>Towne Tower Apartments</t>
  </si>
  <si>
    <t>Auto Cavaggio Holdings</t>
  </si>
  <si>
    <t>Wendy's</t>
  </si>
  <si>
    <t>Business</t>
  </si>
  <si>
    <t>?</t>
  </si>
  <si>
    <t>5/8" meter size</t>
  </si>
  <si>
    <t>3/4" meter size</t>
  </si>
  <si>
    <t>minimum rate</t>
  </si>
  <si>
    <t>1.5" meter size</t>
  </si>
  <si>
    <t>1" meter size</t>
  </si>
  <si>
    <t>2" meter size</t>
  </si>
  <si>
    <t>3" meter size</t>
  </si>
  <si>
    <t>4" meter size</t>
  </si>
  <si>
    <t>6" meter size</t>
  </si>
  <si>
    <t>Act 339 Subsidy</t>
  </si>
  <si>
    <t>Miscellaneous</t>
  </si>
  <si>
    <t>Rents, trucks and Equipment</t>
  </si>
  <si>
    <t>Accrued Interest and Utility Revenues</t>
  </si>
  <si>
    <t>Deferred Financing Costs</t>
  </si>
  <si>
    <t xml:space="preserve"> </t>
  </si>
  <si>
    <t>Revenue Bonds Payable - Series of 1998</t>
  </si>
  <si>
    <t>Revenue Bonds Payable - Series of 1994</t>
  </si>
  <si>
    <t>Contributions in Aid of Construction</t>
  </si>
  <si>
    <t>Fund equity</t>
  </si>
  <si>
    <t>Total Fund Equity</t>
  </si>
  <si>
    <t>Chase Manhattan Trust Company</t>
  </si>
  <si>
    <t>Nov or May</t>
  </si>
  <si>
    <t>refund the authority's series of 1995 bonds and a portion of the interest on the authority's 1994 bonds</t>
  </si>
  <si>
    <t>purchase Raccoon Water Systme</t>
  </si>
  <si>
    <t>Water and Sewer Revenue Bonds, Series of 1994-Series A</t>
  </si>
  <si>
    <t>4-5.75%</t>
  </si>
  <si>
    <t>Water and Sewer Revenue Bonds, Series of 1994-Series B</t>
  </si>
  <si>
    <t>Water and Sewer Revenue Bonds, Series of 1995</t>
  </si>
  <si>
    <t>5-6.75%</t>
  </si>
  <si>
    <t>2003-2007</t>
  </si>
  <si>
    <t>2003-2012</t>
  </si>
  <si>
    <t>Pennvest loan 1989 for installation of radial collector well</t>
  </si>
  <si>
    <t>Pennvest loan 1992 for rehabilitation of sewage system</t>
  </si>
  <si>
    <t>Pennvest loan 1994 for rehabilitation of water system</t>
  </si>
  <si>
    <t>2003-2013</t>
  </si>
  <si>
    <t>Pennvest loan 1994 for rehabilitation of sewer system</t>
  </si>
  <si>
    <t>Robert DiGiovine</t>
  </si>
  <si>
    <t>Nick Kosanovich</t>
  </si>
  <si>
    <t>Kenneth E Thornton</t>
  </si>
  <si>
    <t>City</t>
  </si>
  <si>
    <t>radial collector well</t>
  </si>
  <si>
    <t>5 vertical wells</t>
  </si>
  <si>
    <t>Missing a lot of basic info, such as rates, usage, largest customers, etc</t>
  </si>
  <si>
    <t>Retainage Payable</t>
  </si>
  <si>
    <t>Accrued Liabilities</t>
  </si>
  <si>
    <t>Due to Other Governmental Unit</t>
  </si>
  <si>
    <t>A2</t>
  </si>
  <si>
    <t>Commonwealth Securities and Investments, Inc.</t>
  </si>
  <si>
    <t>1995 Construction project</t>
  </si>
  <si>
    <t>Water and Sewer Revenue Bonds, Series A and B of 1994</t>
  </si>
  <si>
    <t>1999-2017</t>
  </si>
  <si>
    <t>From 1987 and 1992 Water and Sewer Revenue Bonds</t>
  </si>
  <si>
    <t>1999-2007</t>
  </si>
  <si>
    <t>Pennvest loan 1994 for installation of radial collector well</t>
  </si>
  <si>
    <t>1% for first 5 years, then 1.718% for remaining term</t>
  </si>
  <si>
    <t>Richard M. Woznicki</t>
  </si>
  <si>
    <t>The Authority and Raccoon Township Water Authority settled a suit in 1992 involving a dispute over rates</t>
  </si>
  <si>
    <t>Raccoon Township Water Authority</t>
  </si>
  <si>
    <t>Regular</t>
  </si>
  <si>
    <t>Sell</t>
  </si>
  <si>
    <t>Amount not to exceed 9,000,000 gallons per month and to no more than 1200 customers</t>
  </si>
  <si>
    <t>4 vertical wells</t>
  </si>
  <si>
    <t>to supply raw water for purification</t>
  </si>
  <si>
    <t>Na</t>
  </si>
  <si>
    <t>Due from Sewer Fund</t>
  </si>
  <si>
    <t>Restricted funds - at cost</t>
  </si>
  <si>
    <t>Due to Water Fund</t>
  </si>
  <si>
    <t>B</t>
  </si>
  <si>
    <t>yes</t>
  </si>
  <si>
    <t>Assest Guaranty Insurance Company</t>
  </si>
  <si>
    <t>refunding requirements</t>
  </si>
  <si>
    <t>Water and Sewer Revenue Bonds, Series of 1992</t>
  </si>
  <si>
    <t>Water and Sewer Revenue Bonds, Series of 1987</t>
  </si>
  <si>
    <t>$1300000 revenue from 1993</t>
  </si>
  <si>
    <t>$333750 revenue from 1993</t>
  </si>
  <si>
    <t>1998, 1995, 1994 bonds</t>
  </si>
  <si>
    <t>1994 bond</t>
  </si>
  <si>
    <t>1993 fiscal info is different than the fiscal numbers in the 1995 bond doc</t>
  </si>
  <si>
    <t>125% of the Debt Service Requirements with respect to the 1987 bonds</t>
  </si>
  <si>
    <t>project construction and related costs</t>
  </si>
  <si>
    <t>6244 customers</t>
  </si>
  <si>
    <t>PA5040064</t>
  </si>
  <si>
    <t>PA5040082</t>
  </si>
  <si>
    <t>Hall Avenue Water Authority</t>
  </si>
  <si>
    <t>Well 22</t>
  </si>
  <si>
    <t>Well 23</t>
  </si>
  <si>
    <t>Well 24</t>
  </si>
  <si>
    <t>LTV Steel</t>
  </si>
  <si>
    <t>Raccoon Township</t>
  </si>
  <si>
    <t xml:space="preserve">J &amp; L Structural </t>
  </si>
  <si>
    <t>=gallons used relative to total sales of 147804000 gallons during the last quarter of 1991</t>
  </si>
  <si>
    <t>y1987</t>
  </si>
  <si>
    <t>y1986</t>
  </si>
  <si>
    <t>Line Item</t>
  </si>
  <si>
    <t>Notes</t>
  </si>
  <si>
    <t>[1]</t>
  </si>
  <si>
    <t>Enter as shown in the Total Operating Revenues line</t>
  </si>
  <si>
    <t>[2]</t>
  </si>
  <si>
    <t>Enter as shown in the Total Operating Expenses line</t>
  </si>
  <si>
    <t>[3]</t>
  </si>
  <si>
    <t>Depreciation &amp; Amortization Expenses</t>
  </si>
  <si>
    <t>Depreciation and amortization are listed as a line item within Operating Expenses</t>
  </si>
  <si>
    <t>[4]</t>
  </si>
  <si>
    <t>Debt Principal Payments</t>
  </si>
  <si>
    <t>Enter $0 if there were no debt service payments</t>
  </si>
  <si>
    <t>Debt Interest Payments</t>
  </si>
  <si>
    <t>[4b]</t>
  </si>
  <si>
    <t>Current Assets, excluding inventories, restricted cash, prepaids</t>
  </si>
  <si>
    <t>[5]</t>
  </si>
  <si>
    <t>Total Current Assets minus all inventories, prepaid items and any kind of restricted cash or restricted assets that cannot be used to pay for Current Liabilities</t>
  </si>
  <si>
    <t>Current Liabilities, excluding deposits &amp; bond anticipation notes</t>
  </si>
  <si>
    <t>[6]</t>
  </si>
  <si>
    <t>Total Current Liabilities minus all refundable deposits and bond anticipation notes</t>
  </si>
  <si>
    <t>Unrestricted Cash &amp; Investments</t>
  </si>
  <si>
    <t>[7]</t>
  </si>
  <si>
    <t>Unrestricted Cash &amp; Investments (and Cash Equivalents) is listed as a line item within Current Assets</t>
  </si>
  <si>
    <t>Total Accumulated Depreciation</t>
  </si>
  <si>
    <t>[8]</t>
  </si>
  <si>
    <t>Total accumulated depreciation on capital assets being depreciated (buildings, equipment, other improvements) is usually shown in the Detail Notes on Capital Assets.</t>
  </si>
  <si>
    <t>Total Depreciable Capital Assets</t>
  </si>
  <si>
    <t>[9]</t>
  </si>
  <si>
    <t>Enter the total value of capital assets being depreciated (buildings, equipment, othre improvements) only. Often listed in Detail Notes on Capital Assets.</t>
  </si>
  <si>
    <t>[10]</t>
  </si>
  <si>
    <t>[11]</t>
  </si>
  <si>
    <t>Capital Spending</t>
  </si>
  <si>
    <t>[12]</t>
  </si>
  <si>
    <t>Enter Current PPE less Prior PPE + Depreciation</t>
  </si>
  <si>
    <t>Indicators</t>
  </si>
  <si>
    <t>Formula</t>
  </si>
  <si>
    <t>Operating Ratio (including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</si>
  <si>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</si>
  <si>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(not including depreciation)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</si>
  <si>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</si>
  <si>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Debt Service coverage ratio</t>
  </si>
  <si>
    <t>Quick Ratio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</si>
  <si>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</si>
  <si>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Days cash on hand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</si>
  <si>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</si>
  <si>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Percent of capital assets depreciated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</si>
  <si>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</si>
  <si>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Debt to Equity Ratio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</si>
  <si>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</si>
  <si>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*</t>
  </si>
  <si>
    <t>Average plant age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</si>
  <si>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</si>
  <si>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**</t>
  </si>
  <si>
    <t>CapEx</t>
  </si>
  <si>
    <t>Replacement ratio</t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</si>
  <si>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</si>
  <si>
    <t>*in cases where accumulated depcreciation is not available, calculate as: 35 - (net PPE / annual depreciation expense)</t>
  </si>
  <si>
    <t>**can also look in cash flow statement for capex value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</si>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</sst>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0" fillId="2" borderId="0" xfId="0" applyFont="1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4" fontId="0" fillId="2" borderId="0" xfId="0" applyNumberFormat="1" applyFill="1"/>
    <xf numFmtId="0" fontId="0" fillId="2" borderId="0" xfId="0" quotePrefix="1" applyFill="1"/>
    <xf numFmtId="9" fontId="0" fillId="2" borderId="0" xfId="3" applyFont="1" applyFill="1"/>
    <xf numFmtId="44" fontId="0" fillId="2" borderId="0" xfId="2" applyFont="1" applyFill="1"/>
    <xf numFmtId="166" fontId="0" fillId="2" borderId="0" xfId="3" applyNumberFormat="1" applyFont="1" applyFill="1"/>
    <xf numFmtId="164" fontId="1" fillId="2" borderId="0" xfId="1" applyNumberFormat="1" applyFont="1" applyFill="1" applyAlignment="1">
      <alignment horizontal="center"/>
    </xf>
    <xf numFmtId="164" fontId="3" fillId="2" borderId="0" xfId="0" applyNumberFormat="1" applyFont="1" applyFill="1"/>
    <xf numFmtId="164" fontId="0" fillId="2" borderId="0" xfId="0" applyNumberFormat="1" applyFont="1" applyFill="1"/>
    <xf numFmtId="10" fontId="0" fillId="2" borderId="0" xfId="3" applyNumberFormat="1" applyFont="1" applyFill="1"/>
    <xf numFmtId="43" fontId="0" fillId="2" borderId="0" xfId="1" applyFont="1" applyFill="1"/>
    <xf numFmtId="164" fontId="0" fillId="2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10" fontId="0" fillId="2" borderId="0" xfId="0" applyNumberFormat="1" applyFill="1"/>
    <xf numFmtId="9" fontId="0" fillId="2" borderId="0" xfId="0" applyNumberFormat="1" applyFill="1"/>
    <xf numFmtId="164" fontId="3" fillId="4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3" fontId="0" fillId="2" borderId="0" xfId="0" applyNumberFormat="1" applyFont="1" applyFill="1"/>
    <xf numFmtId="164" fontId="3" fillId="4" borderId="0" xfId="0" applyNumberFormat="1" applyFont="1" applyFill="1"/>
    <xf numFmtId="165" fontId="0" fillId="2" borderId="0" xfId="0" applyNumberForma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 vertical="top" wrapText="1"/>
    </xf>
    <xf numFmtId="6" fontId="0" fillId="2" borderId="0" xfId="0" applyNumberFormat="1" applyFill="1"/>
    <xf numFmtId="8" fontId="0" fillId="2" borderId="0" xfId="0" applyNumberFormat="1" applyFill="1"/>
    <xf numFmtId="4" fontId="0" fillId="2" borderId="0" xfId="0" applyNumberFormat="1" applyFill="1" applyAlignment="1">
      <alignment horizontal="center"/>
    </xf>
    <xf numFmtId="0" fontId="3" fillId="0" borderId="1" xfId="0" applyFont="1" applyBorder="1"/>
    <xf numFmtId="0" fontId="7" fillId="0" borderId="0" xfId="0" applyFont="1"/>
    <xf numFmtId="0" fontId="8" fillId="0" borderId="0" xfId="0" applyFont="1" applyAlignment="1">
      <alignment horizontal="left" indent="1"/>
    </xf>
    <xf numFmtId="164" fontId="0" fillId="0" borderId="0" xfId="1" applyNumberFormat="1" applyFont="1"/>
    <xf numFmtId="0" fontId="9" fillId="0" borderId="1" xfId="0" applyFont="1" applyBorder="1"/>
    <xf numFmtId="0" fontId="3" fillId="0" borderId="0" xfId="0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0" fillId="0" borderId="0" xfId="0" applyFont="1" applyAlignment="1">
      <alignment horizontal="center" vertical="center" wrapText="1"/>
    </xf>
    <xf numFmtId="1" fontId="0" fillId="0" borderId="0" xfId="0" applyNumberFormat="1"/>
    <xf numFmtId="9" fontId="0" fillId="0" borderId="0" xfId="3" applyFon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chel Bash" id="{FEA7C5A4-5981-4B3B-94A9-F552C0F77B0B}" userId="cab2dd3cb6095b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4" dT="2019-09-30T12:38:43.38" personId="{FEA7C5A4-5981-4B3B-94A9-F552C0F77B0B}" id="{0FA35AC4-F1C9-47D0-9067-67BD6AC2B3EA}">
    <text>Off by a lot. Actual sum is 3,254,933</text>
  </threadedComment>
  <threadedComment ref="U24" dT="2019-09-23T15:29:27.58" personId="{FEA7C5A4-5981-4B3B-94A9-F552C0F77B0B}" id="{D4226FF7-AE68-47AB-A234-413C409605C7}">
    <text>Off by $1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45" dT="2019-09-24T17:14:36.40" personId="{FEA7C5A4-5981-4B3B-94A9-F552C0F77B0B}" id="{DA493DE3-9F8B-48A4-AE94-525480C634D5}">
    <text>Off by 1</text>
  </threadedComment>
  <threadedComment ref="T45" dT="2019-09-24T17:15:19.79" personId="{FEA7C5A4-5981-4B3B-94A9-F552C0F77B0B}" id="{818312F1-35D4-4A25-80E5-D9B6289BF35A}">
    <text>off by 1</text>
  </threadedComment>
  <threadedComment ref="U45" dT="2019-09-24T17:15:42.14" personId="{FEA7C5A4-5981-4B3B-94A9-F552C0F77B0B}" id="{EED22A8E-D2CE-4104-92FA-01D80D94C0A4}">
    <text>off by one</text>
  </threadedComment>
</ThreadedComment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workbookViewId="0">
      <selection activeCell="B12" sqref="B12"/>
    </sheetView>
  </sheetViews>
  <sheetFormatPr defaultRowHeight="14.4" x14ac:dyDescent="0.3"/>
  <cols>
    <col min="1" max="1" width="20.6640625" style="1" customWidth="1"/>
    <col min="2" max="16384" width="8.88671875" style="1"/>
  </cols>
  <sheetData>
    <row r="1" spans="1:3" ht="18" x14ac:dyDescent="0.35">
      <c r="A1" s="17" t="s">
        <v>83</v>
      </c>
    </row>
    <row r="2" spans="1:3" ht="18" x14ac:dyDescent="0.35">
      <c r="A2" s="17" t="s">
        <v>87</v>
      </c>
    </row>
    <row r="4" spans="1:3" x14ac:dyDescent="0.3">
      <c r="A4" s="18" t="s">
        <v>84</v>
      </c>
      <c r="B4" s="18" t="s">
        <v>85</v>
      </c>
      <c r="C4" s="18" t="s">
        <v>86</v>
      </c>
    </row>
    <row r="5" spans="1:3" x14ac:dyDescent="0.3">
      <c r="A5" s="1" t="s">
        <v>193</v>
      </c>
      <c r="B5" s="1">
        <v>2</v>
      </c>
      <c r="C5" s="1" t="s">
        <v>194</v>
      </c>
    </row>
    <row r="6" spans="1:3" x14ac:dyDescent="0.3">
      <c r="A6" s="1" t="s">
        <v>331</v>
      </c>
      <c r="B6" s="1">
        <v>2</v>
      </c>
      <c r="C6" s="1" t="s">
        <v>332</v>
      </c>
    </row>
    <row r="7" spans="1:3" x14ac:dyDescent="0.3">
      <c r="A7" s="1" t="s">
        <v>334</v>
      </c>
      <c r="B7" s="1" t="s">
        <v>335</v>
      </c>
      <c r="C7" s="1" t="s">
        <v>336</v>
      </c>
    </row>
    <row r="8" spans="1:3" x14ac:dyDescent="0.3">
      <c r="A8" s="1" t="s">
        <v>341</v>
      </c>
      <c r="C8" s="1" t="s">
        <v>342</v>
      </c>
    </row>
    <row r="9" spans="1:3" x14ac:dyDescent="0.3">
      <c r="A9" s="1" t="s">
        <v>371</v>
      </c>
      <c r="C9" s="1" t="s">
        <v>372</v>
      </c>
    </row>
    <row r="10" spans="1:3" x14ac:dyDescent="0.3">
      <c r="A10" s="1" t="s">
        <v>477</v>
      </c>
      <c r="C10" s="1" t="s">
        <v>444</v>
      </c>
    </row>
    <row r="11" spans="1:3" x14ac:dyDescent="0.3">
      <c r="A11" s="1" t="s">
        <v>478</v>
      </c>
      <c r="B11" s="1">
        <v>27</v>
      </c>
      <c r="C11" s="1" t="s">
        <v>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30"/>
  <sheetViews>
    <sheetView topLeftCell="A4" workbookViewId="0">
      <selection activeCell="C31" sqref="C31"/>
    </sheetView>
  </sheetViews>
  <sheetFormatPr defaultRowHeight="14.4" x14ac:dyDescent="0.3"/>
  <cols>
    <col min="1" max="3" width="8.88671875" style="1"/>
    <col min="4" max="4" width="11.21875" style="1" bestFit="1" customWidth="1"/>
    <col min="5" max="16384" width="8.886718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126</v>
      </c>
      <c r="F1" s="2" t="s">
        <v>123</v>
      </c>
      <c r="G1" s="2" t="s">
        <v>109</v>
      </c>
      <c r="H1" s="4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 t="s">
        <v>181</v>
      </c>
      <c r="E2" s="1" t="s">
        <v>219</v>
      </c>
      <c r="F2" s="1" t="s">
        <v>221</v>
      </c>
      <c r="G2" s="1" t="s">
        <v>441</v>
      </c>
    </row>
    <row r="3" spans="1:8" x14ac:dyDescent="0.3">
      <c r="A3" t="s">
        <v>179</v>
      </c>
      <c r="B3" s="1" t="s">
        <v>180</v>
      </c>
      <c r="C3" s="1">
        <v>2019</v>
      </c>
      <c r="D3" s="1" t="s">
        <v>181</v>
      </c>
      <c r="E3" s="1" t="s">
        <v>219</v>
      </c>
      <c r="F3" s="1" t="s">
        <v>222</v>
      </c>
      <c r="G3" s="1" t="s">
        <v>223</v>
      </c>
    </row>
    <row r="4" spans="1:8" x14ac:dyDescent="0.3">
      <c r="A4" t="s">
        <v>179</v>
      </c>
      <c r="B4" s="1" t="s">
        <v>180</v>
      </c>
      <c r="C4" s="1">
        <v>2019</v>
      </c>
      <c r="D4" s="1" t="s">
        <v>224</v>
      </c>
      <c r="E4" s="1" t="s">
        <v>219</v>
      </c>
      <c r="F4" s="1" t="s">
        <v>225</v>
      </c>
      <c r="G4" s="1" t="s">
        <v>223</v>
      </c>
    </row>
    <row r="5" spans="1:8" x14ac:dyDescent="0.3">
      <c r="A5" t="s">
        <v>179</v>
      </c>
      <c r="B5" s="1" t="s">
        <v>180</v>
      </c>
      <c r="C5" s="1">
        <v>2019</v>
      </c>
      <c r="D5" s="1" t="s">
        <v>224</v>
      </c>
      <c r="E5" s="1" t="s">
        <v>219</v>
      </c>
      <c r="F5" s="1" t="s">
        <v>226</v>
      </c>
      <c r="G5" s="1" t="s">
        <v>223</v>
      </c>
    </row>
    <row r="6" spans="1:8" x14ac:dyDescent="0.3">
      <c r="A6" t="s">
        <v>179</v>
      </c>
      <c r="B6" s="1" t="s">
        <v>180</v>
      </c>
      <c r="C6" s="1">
        <v>2018</v>
      </c>
      <c r="D6" s="1" t="s">
        <v>181</v>
      </c>
      <c r="E6" s="1" t="s">
        <v>219</v>
      </c>
      <c r="F6" s="1" t="s">
        <v>221</v>
      </c>
      <c r="G6" s="1" t="s">
        <v>441</v>
      </c>
    </row>
    <row r="7" spans="1:8" x14ac:dyDescent="0.3">
      <c r="A7" t="s">
        <v>179</v>
      </c>
      <c r="B7" s="1" t="s">
        <v>180</v>
      </c>
      <c r="C7" s="1">
        <v>2018</v>
      </c>
      <c r="D7" s="1" t="s">
        <v>181</v>
      </c>
      <c r="E7" s="1" t="s">
        <v>219</v>
      </c>
      <c r="F7" s="1" t="s">
        <v>222</v>
      </c>
      <c r="G7" s="1" t="s">
        <v>223</v>
      </c>
    </row>
    <row r="8" spans="1:8" x14ac:dyDescent="0.3">
      <c r="A8" t="s">
        <v>179</v>
      </c>
      <c r="B8" s="1" t="s">
        <v>180</v>
      </c>
      <c r="C8" s="1">
        <v>2018</v>
      </c>
      <c r="D8" s="1" t="s">
        <v>224</v>
      </c>
      <c r="E8" s="1" t="s">
        <v>219</v>
      </c>
      <c r="F8" s="1" t="s">
        <v>225</v>
      </c>
      <c r="G8" s="1" t="s">
        <v>223</v>
      </c>
    </row>
    <row r="9" spans="1:8" x14ac:dyDescent="0.3">
      <c r="A9" t="s">
        <v>179</v>
      </c>
      <c r="B9" s="1" t="s">
        <v>180</v>
      </c>
      <c r="C9" s="1">
        <v>2018</v>
      </c>
      <c r="D9" s="1" t="s">
        <v>224</v>
      </c>
      <c r="E9" s="1" t="s">
        <v>219</v>
      </c>
      <c r="F9" s="1" t="s">
        <v>226</v>
      </c>
      <c r="G9" s="1" t="s">
        <v>223</v>
      </c>
    </row>
    <row r="10" spans="1:8" x14ac:dyDescent="0.3">
      <c r="A10" t="s">
        <v>179</v>
      </c>
      <c r="B10" s="1" t="s">
        <v>180</v>
      </c>
      <c r="C10" s="1">
        <v>2017</v>
      </c>
      <c r="D10" s="1" t="s">
        <v>181</v>
      </c>
      <c r="E10" s="1" t="s">
        <v>219</v>
      </c>
      <c r="F10" s="1" t="s">
        <v>221</v>
      </c>
      <c r="G10" s="1" t="s">
        <v>441</v>
      </c>
    </row>
    <row r="11" spans="1:8" x14ac:dyDescent="0.3">
      <c r="A11" t="s">
        <v>179</v>
      </c>
      <c r="B11" s="1" t="s">
        <v>180</v>
      </c>
      <c r="C11" s="1">
        <v>2017</v>
      </c>
      <c r="D11" s="1" t="s">
        <v>181</v>
      </c>
      <c r="E11" s="1" t="s">
        <v>219</v>
      </c>
      <c r="F11" s="1" t="s">
        <v>222</v>
      </c>
      <c r="G11" s="1" t="s">
        <v>223</v>
      </c>
    </row>
    <row r="12" spans="1:8" x14ac:dyDescent="0.3">
      <c r="A12" t="s">
        <v>179</v>
      </c>
      <c r="B12" s="1" t="s">
        <v>180</v>
      </c>
      <c r="C12" s="1">
        <v>2017</v>
      </c>
      <c r="D12" s="1" t="s">
        <v>224</v>
      </c>
      <c r="E12" s="1" t="s">
        <v>219</v>
      </c>
      <c r="F12" s="1" t="s">
        <v>225</v>
      </c>
      <c r="G12" s="1" t="s">
        <v>223</v>
      </c>
    </row>
    <row r="13" spans="1:8" x14ac:dyDescent="0.3">
      <c r="A13" t="s">
        <v>179</v>
      </c>
      <c r="B13" s="1" t="s">
        <v>180</v>
      </c>
      <c r="C13" s="1">
        <v>2017</v>
      </c>
      <c r="D13" s="1" t="s">
        <v>224</v>
      </c>
      <c r="E13" s="1" t="s">
        <v>219</v>
      </c>
      <c r="F13" s="1" t="s">
        <v>226</v>
      </c>
      <c r="G13" s="1" t="s">
        <v>223</v>
      </c>
    </row>
    <row r="14" spans="1:8" x14ac:dyDescent="0.3">
      <c r="A14" t="s">
        <v>179</v>
      </c>
      <c r="B14" s="1" t="s">
        <v>180</v>
      </c>
      <c r="C14" s="1">
        <v>2003</v>
      </c>
      <c r="D14" s="1" t="s">
        <v>181</v>
      </c>
      <c r="E14" s="1" t="s">
        <v>219</v>
      </c>
      <c r="F14" s="1" t="s">
        <v>221</v>
      </c>
      <c r="G14" s="1" t="s">
        <v>441</v>
      </c>
    </row>
    <row r="15" spans="1:8" x14ac:dyDescent="0.3">
      <c r="A15" t="s">
        <v>179</v>
      </c>
      <c r="B15" s="1" t="s">
        <v>180</v>
      </c>
      <c r="C15" s="1">
        <v>2003</v>
      </c>
      <c r="D15" s="1" t="s">
        <v>181</v>
      </c>
      <c r="E15" s="1" t="s">
        <v>219</v>
      </c>
      <c r="F15" s="1" t="s">
        <v>222</v>
      </c>
      <c r="G15" s="1" t="s">
        <v>223</v>
      </c>
    </row>
    <row r="16" spans="1:8" x14ac:dyDescent="0.3">
      <c r="A16" t="s">
        <v>179</v>
      </c>
      <c r="B16" s="1" t="s">
        <v>180</v>
      </c>
      <c r="C16" s="1">
        <v>2003</v>
      </c>
      <c r="D16" s="1" t="s">
        <v>181</v>
      </c>
      <c r="E16" s="1" t="s">
        <v>219</v>
      </c>
      <c r="F16" s="1" t="s">
        <v>225</v>
      </c>
      <c r="G16" s="1" t="s">
        <v>223</v>
      </c>
    </row>
    <row r="17" spans="1:7" x14ac:dyDescent="0.3">
      <c r="A17" t="s">
        <v>179</v>
      </c>
      <c r="B17" s="1" t="s">
        <v>180</v>
      </c>
      <c r="C17" s="1">
        <v>2003</v>
      </c>
      <c r="D17" s="1" t="s">
        <v>181</v>
      </c>
      <c r="E17" s="1" t="s">
        <v>219</v>
      </c>
      <c r="F17" s="1" t="s">
        <v>226</v>
      </c>
      <c r="G17" s="1" t="s">
        <v>223</v>
      </c>
    </row>
    <row r="18" spans="1:7" x14ac:dyDescent="0.3">
      <c r="A18" t="s">
        <v>179</v>
      </c>
      <c r="B18" s="1" t="s">
        <v>180</v>
      </c>
      <c r="C18" s="1">
        <v>1998</v>
      </c>
      <c r="D18" s="1" t="s">
        <v>181</v>
      </c>
      <c r="E18" s="1" t="s">
        <v>219</v>
      </c>
      <c r="F18" s="1" t="s">
        <v>221</v>
      </c>
      <c r="G18" s="1" t="s">
        <v>441</v>
      </c>
    </row>
    <row r="19" spans="1:7" x14ac:dyDescent="0.3">
      <c r="A19" t="s">
        <v>179</v>
      </c>
      <c r="B19" s="1" t="s">
        <v>180</v>
      </c>
      <c r="C19" s="1">
        <v>1998</v>
      </c>
      <c r="D19" s="1" t="s">
        <v>181</v>
      </c>
      <c r="E19" s="1" t="s">
        <v>219</v>
      </c>
      <c r="F19" s="1" t="s">
        <v>222</v>
      </c>
      <c r="G19" s="1" t="s">
        <v>223</v>
      </c>
    </row>
    <row r="20" spans="1:7" x14ac:dyDescent="0.3">
      <c r="A20" t="s">
        <v>179</v>
      </c>
      <c r="B20" s="1" t="s">
        <v>180</v>
      </c>
      <c r="C20" s="1">
        <v>1998</v>
      </c>
      <c r="D20" s="1" t="s">
        <v>181</v>
      </c>
      <c r="E20" s="1" t="s">
        <v>219</v>
      </c>
      <c r="F20" s="1" t="s">
        <v>225</v>
      </c>
      <c r="G20" s="1" t="s">
        <v>223</v>
      </c>
    </row>
    <row r="21" spans="1:7" x14ac:dyDescent="0.3">
      <c r="A21" t="s">
        <v>179</v>
      </c>
      <c r="B21" s="1" t="s">
        <v>180</v>
      </c>
      <c r="C21" s="1">
        <v>1998</v>
      </c>
      <c r="D21" s="1" t="s">
        <v>181</v>
      </c>
      <c r="E21" s="1" t="s">
        <v>219</v>
      </c>
      <c r="F21" s="1" t="s">
        <v>226</v>
      </c>
      <c r="G21" s="1" t="s">
        <v>223</v>
      </c>
    </row>
    <row r="22" spans="1:7" x14ac:dyDescent="0.3">
      <c r="A22" t="s">
        <v>179</v>
      </c>
      <c r="B22" s="1" t="s">
        <v>180</v>
      </c>
      <c r="C22" s="1">
        <v>1995</v>
      </c>
      <c r="D22" s="1" t="s">
        <v>181</v>
      </c>
      <c r="E22" s="1" t="s">
        <v>219</v>
      </c>
      <c r="F22" s="1" t="s">
        <v>221</v>
      </c>
      <c r="G22" s="1" t="s">
        <v>441</v>
      </c>
    </row>
    <row r="23" spans="1:7" x14ac:dyDescent="0.3">
      <c r="A23" t="s">
        <v>179</v>
      </c>
      <c r="B23" s="1" t="s">
        <v>180</v>
      </c>
      <c r="C23" s="1">
        <v>1995</v>
      </c>
      <c r="D23" s="1" t="s">
        <v>181</v>
      </c>
      <c r="E23" s="1" t="s">
        <v>219</v>
      </c>
      <c r="F23" s="1" t="s">
        <v>222</v>
      </c>
      <c r="G23" s="1" t="s">
        <v>223</v>
      </c>
    </row>
    <row r="24" spans="1:7" x14ac:dyDescent="0.3">
      <c r="A24" t="s">
        <v>179</v>
      </c>
      <c r="B24" s="1" t="s">
        <v>180</v>
      </c>
      <c r="C24" s="1">
        <v>1995</v>
      </c>
      <c r="D24" s="1" t="s">
        <v>181</v>
      </c>
      <c r="E24" s="1" t="s">
        <v>219</v>
      </c>
      <c r="F24" s="1" t="s">
        <v>225</v>
      </c>
      <c r="G24" s="1" t="s">
        <v>223</v>
      </c>
    </row>
    <row r="25" spans="1:7" x14ac:dyDescent="0.3">
      <c r="A25" t="s">
        <v>179</v>
      </c>
      <c r="B25" s="1" t="s">
        <v>180</v>
      </c>
      <c r="C25" s="1">
        <v>1994</v>
      </c>
      <c r="D25" s="1" t="s">
        <v>181</v>
      </c>
      <c r="E25" s="1" t="s">
        <v>219</v>
      </c>
      <c r="F25" s="1" t="s">
        <v>221</v>
      </c>
      <c r="G25" s="1" t="s">
        <v>441</v>
      </c>
    </row>
    <row r="26" spans="1:7" x14ac:dyDescent="0.3">
      <c r="A26" t="s">
        <v>179</v>
      </c>
      <c r="B26" s="1" t="s">
        <v>180</v>
      </c>
      <c r="C26" s="1">
        <v>1994</v>
      </c>
      <c r="D26" s="1" t="s">
        <v>181</v>
      </c>
      <c r="E26" s="1" t="s">
        <v>219</v>
      </c>
      <c r="F26" s="1" t="s">
        <v>222</v>
      </c>
      <c r="G26" s="1" t="s">
        <v>223</v>
      </c>
    </row>
    <row r="27" spans="1:7" x14ac:dyDescent="0.3">
      <c r="A27" t="s">
        <v>179</v>
      </c>
      <c r="B27" s="1" t="s">
        <v>180</v>
      </c>
      <c r="C27" s="1">
        <v>1994</v>
      </c>
      <c r="D27" s="1" t="s">
        <v>181</v>
      </c>
      <c r="E27" s="1" t="s">
        <v>219</v>
      </c>
      <c r="F27" s="1" t="s">
        <v>225</v>
      </c>
      <c r="G27" s="1" t="s">
        <v>223</v>
      </c>
    </row>
    <row r="28" spans="1:7" x14ac:dyDescent="0.3">
      <c r="A28" t="s">
        <v>179</v>
      </c>
      <c r="B28" s="1" t="s">
        <v>180</v>
      </c>
      <c r="C28" s="1">
        <v>1992</v>
      </c>
      <c r="D28" s="1" t="s">
        <v>181</v>
      </c>
      <c r="E28" s="1" t="s">
        <v>219</v>
      </c>
      <c r="F28" s="1" t="s">
        <v>221</v>
      </c>
      <c r="G28" s="1" t="s">
        <v>441</v>
      </c>
    </row>
    <row r="29" spans="1:7" x14ac:dyDescent="0.3">
      <c r="A29" t="s">
        <v>179</v>
      </c>
      <c r="B29" s="1" t="s">
        <v>180</v>
      </c>
      <c r="C29" s="1">
        <v>1992</v>
      </c>
      <c r="D29" s="1" t="s">
        <v>181</v>
      </c>
      <c r="E29" s="1" t="s">
        <v>219</v>
      </c>
      <c r="F29" s="1" t="s">
        <v>222</v>
      </c>
      <c r="G29" s="1" t="s">
        <v>223</v>
      </c>
    </row>
    <row r="30" spans="1:7" x14ac:dyDescent="0.3">
      <c r="A30" t="s">
        <v>179</v>
      </c>
      <c r="B30" s="1" t="s">
        <v>180</v>
      </c>
      <c r="C30" s="1">
        <v>1992</v>
      </c>
      <c r="D30" s="1" t="s">
        <v>181</v>
      </c>
      <c r="E30" s="1" t="s">
        <v>219</v>
      </c>
      <c r="F30" s="1" t="s">
        <v>225</v>
      </c>
      <c r="G30" s="1" t="s">
        <v>223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8"/>
  <sheetViews>
    <sheetView workbookViewId="0">
      <selection activeCell="B9" sqref="B9:C9"/>
    </sheetView>
  </sheetViews>
  <sheetFormatPr defaultRowHeight="14.4" x14ac:dyDescent="0.3"/>
  <cols>
    <col min="1" max="1" width="6.6640625" style="1" bestFit="1" customWidth="1"/>
    <col min="2" max="2" width="7" style="1" bestFit="1" customWidth="1"/>
    <col min="3" max="3" width="11.21875" style="1" bestFit="1" customWidth="1"/>
    <col min="4" max="4" width="11.88671875" style="1" bestFit="1" customWidth="1"/>
    <col min="5" max="5" width="15.88671875" style="1" bestFit="1" customWidth="1"/>
    <col min="6" max="6" width="20" style="1" bestFit="1" customWidth="1"/>
    <col min="7" max="7" width="4.77734375" style="1" bestFit="1" customWidth="1"/>
    <col min="8" max="8" width="4.21875" style="1" bestFit="1" customWidth="1"/>
    <col min="9" max="9" width="12" style="1" bestFit="1" customWidth="1"/>
    <col min="10" max="10" width="11.21875" style="1" bestFit="1" customWidth="1"/>
    <col min="11" max="11" width="5.6640625" style="1" bestFit="1" customWidth="1"/>
    <col min="12" max="16384" width="8.88671875" style="1"/>
  </cols>
  <sheetData>
    <row r="1" spans="1:11" x14ac:dyDescent="0.3">
      <c r="A1" s="2" t="s">
        <v>0</v>
      </c>
      <c r="B1" s="2" t="s">
        <v>2</v>
      </c>
      <c r="C1" s="2" t="s">
        <v>24</v>
      </c>
      <c r="D1" s="2" t="s">
        <v>127</v>
      </c>
      <c r="E1" s="2" t="s">
        <v>21</v>
      </c>
      <c r="F1" s="2" t="s">
        <v>128</v>
      </c>
      <c r="G1" s="2" t="s">
        <v>109</v>
      </c>
      <c r="H1" s="2" t="s">
        <v>129</v>
      </c>
      <c r="I1" s="2" t="s">
        <v>22</v>
      </c>
      <c r="J1" s="2" t="s">
        <v>23</v>
      </c>
      <c r="K1" s="2" t="s">
        <v>96</v>
      </c>
    </row>
    <row r="2" spans="1:11" x14ac:dyDescent="0.3">
      <c r="B2" s="1">
        <v>2019</v>
      </c>
      <c r="C2" s="1" t="s">
        <v>224</v>
      </c>
      <c r="D2" s="1" t="s">
        <v>227</v>
      </c>
      <c r="K2" s="1" t="s">
        <v>228</v>
      </c>
    </row>
    <row r="3" spans="1:11" x14ac:dyDescent="0.3">
      <c r="B3" s="1">
        <v>2018</v>
      </c>
      <c r="C3" s="1" t="s">
        <v>224</v>
      </c>
      <c r="D3" s="1" t="s">
        <v>227</v>
      </c>
      <c r="K3" s="1" t="s">
        <v>228</v>
      </c>
    </row>
    <row r="4" spans="1:11" x14ac:dyDescent="0.3">
      <c r="B4" s="1">
        <v>2017</v>
      </c>
      <c r="C4" s="1" t="s">
        <v>224</v>
      </c>
      <c r="D4" s="1" t="s">
        <v>227</v>
      </c>
      <c r="K4" s="1" t="s">
        <v>228</v>
      </c>
    </row>
    <row r="5" spans="1:11" x14ac:dyDescent="0.3">
      <c r="A5" s="1" t="s">
        <v>483</v>
      </c>
      <c r="B5" s="1">
        <v>1995</v>
      </c>
      <c r="C5" s="1" t="s">
        <v>224</v>
      </c>
      <c r="D5" s="1" t="s">
        <v>459</v>
      </c>
      <c r="F5" s="1">
        <f>9000000/30</f>
        <v>300000</v>
      </c>
      <c r="G5" s="1" t="s">
        <v>460</v>
      </c>
      <c r="H5" s="1" t="s">
        <v>461</v>
      </c>
      <c r="I5" s="1">
        <v>1973</v>
      </c>
      <c r="J5" s="1">
        <f>1973+40</f>
        <v>2013</v>
      </c>
      <c r="K5" s="1" t="s">
        <v>462</v>
      </c>
    </row>
    <row r="6" spans="1:11" x14ac:dyDescent="0.3">
      <c r="A6" s="1" t="s">
        <v>483</v>
      </c>
      <c r="B6" s="1">
        <v>1994</v>
      </c>
      <c r="C6" s="1" t="s">
        <v>224</v>
      </c>
      <c r="D6" s="1" t="s">
        <v>459</v>
      </c>
      <c r="F6" s="1">
        <f>9000000/30</f>
        <v>300000</v>
      </c>
      <c r="G6" s="1" t="s">
        <v>460</v>
      </c>
      <c r="H6" s="1" t="s">
        <v>461</v>
      </c>
      <c r="I6" s="1">
        <v>1973</v>
      </c>
      <c r="J6" s="1">
        <f>1973+40</f>
        <v>2013</v>
      </c>
      <c r="K6" s="1" t="s">
        <v>462</v>
      </c>
    </row>
    <row r="7" spans="1:11" x14ac:dyDescent="0.3">
      <c r="A7" s="1" t="s">
        <v>483</v>
      </c>
      <c r="B7" s="1">
        <v>1992</v>
      </c>
      <c r="C7" s="1" t="s">
        <v>224</v>
      </c>
      <c r="D7" s="1" t="s">
        <v>459</v>
      </c>
      <c r="F7" s="1">
        <f>9000000/30</f>
        <v>300000</v>
      </c>
      <c r="G7" s="1" t="s">
        <v>460</v>
      </c>
      <c r="H7" s="1" t="s">
        <v>461</v>
      </c>
      <c r="I7" s="1">
        <v>1973</v>
      </c>
      <c r="J7" s="1">
        <f>1973+40</f>
        <v>2013</v>
      </c>
      <c r="K7" s="1" t="s">
        <v>462</v>
      </c>
    </row>
    <row r="8" spans="1:11" x14ac:dyDescent="0.3">
      <c r="A8" s="1" t="s">
        <v>484</v>
      </c>
      <c r="B8" s="1">
        <v>1992</v>
      </c>
      <c r="C8" s="1" t="s">
        <v>224</v>
      </c>
      <c r="D8" s="1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34"/>
  <sheetViews>
    <sheetView workbookViewId="0">
      <pane ySplit="1" topLeftCell="A12" activePane="bottomLeft" state="frozen"/>
      <selection pane="bottomLeft" activeCell="C28" sqref="C28:D34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0.6640625" style="1" bestFit="1" customWidth="1"/>
    <col min="5" max="5" width="8.109375" style="1" bestFit="1" customWidth="1"/>
    <col min="6" max="6" width="7.33203125" style="1" bestFit="1" customWidth="1"/>
    <col min="7" max="7" width="10.21875" style="1" bestFit="1" customWidth="1"/>
    <col min="8" max="8" width="10.109375" style="1" bestFit="1" customWidth="1"/>
    <col min="9" max="9" width="12.21875" style="1" bestFit="1" customWidth="1"/>
    <col min="10" max="10" width="10.44140625" style="1" bestFit="1" customWidth="1"/>
    <col min="11" max="11" width="9.77734375" style="1" bestFit="1" customWidth="1"/>
    <col min="12" max="12" width="10.21875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4" t="s">
        <v>26</v>
      </c>
      <c r="E1" s="4" t="s">
        <v>130</v>
      </c>
      <c r="F1" s="4" t="s">
        <v>131</v>
      </c>
      <c r="G1" s="4" t="s">
        <v>28</v>
      </c>
      <c r="H1" s="4" t="s">
        <v>132</v>
      </c>
      <c r="I1" s="4" t="s">
        <v>133</v>
      </c>
      <c r="J1" s="4" t="s">
        <v>159</v>
      </c>
      <c r="K1" s="4" t="s">
        <v>29</v>
      </c>
      <c r="L1" s="4" t="s">
        <v>30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229</v>
      </c>
      <c r="E2" s="1" t="s">
        <v>230</v>
      </c>
      <c r="F2" s="1" t="s">
        <v>231</v>
      </c>
      <c r="H2" s="1">
        <v>2018</v>
      </c>
      <c r="L2" s="1" t="s">
        <v>237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229</v>
      </c>
      <c r="E3" s="1" t="s">
        <v>232</v>
      </c>
      <c r="F3" s="1" t="s">
        <v>231</v>
      </c>
      <c r="H3" s="1">
        <v>2018</v>
      </c>
      <c r="K3" s="1" t="s">
        <v>233</v>
      </c>
      <c r="L3" s="1" t="s">
        <v>234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229</v>
      </c>
      <c r="E4" s="1" t="s">
        <v>235</v>
      </c>
      <c r="F4" s="1" t="s">
        <v>231</v>
      </c>
    </row>
    <row r="5" spans="1:13" x14ac:dyDescent="0.3">
      <c r="A5" t="s">
        <v>179</v>
      </c>
      <c r="B5" s="1" t="s">
        <v>180</v>
      </c>
      <c r="C5" s="1">
        <v>2019</v>
      </c>
      <c r="D5" s="1" t="s">
        <v>229</v>
      </c>
      <c r="E5" s="1" t="s">
        <v>236</v>
      </c>
      <c r="F5" s="1" t="s">
        <v>231</v>
      </c>
      <c r="H5" s="1">
        <v>2018</v>
      </c>
      <c r="L5" s="1" t="s">
        <v>237</v>
      </c>
    </row>
    <row r="6" spans="1:13" x14ac:dyDescent="0.3">
      <c r="A6" t="s">
        <v>179</v>
      </c>
      <c r="B6" s="1" t="s">
        <v>180</v>
      </c>
      <c r="C6" s="1">
        <v>2019</v>
      </c>
      <c r="D6" s="1" t="s">
        <v>229</v>
      </c>
      <c r="E6" s="1" t="s">
        <v>238</v>
      </c>
      <c r="F6" s="1" t="s">
        <v>231</v>
      </c>
      <c r="H6" s="1">
        <v>2018</v>
      </c>
      <c r="L6" s="1" t="s">
        <v>237</v>
      </c>
    </row>
    <row r="7" spans="1:13" x14ac:dyDescent="0.3">
      <c r="A7" t="s">
        <v>179</v>
      </c>
      <c r="B7" s="1" t="s">
        <v>180</v>
      </c>
      <c r="C7" s="1">
        <v>2019</v>
      </c>
      <c r="D7" s="1" t="s">
        <v>229</v>
      </c>
      <c r="E7" s="1" t="s">
        <v>239</v>
      </c>
      <c r="F7" s="1" t="s">
        <v>231</v>
      </c>
    </row>
    <row r="8" spans="1:13" x14ac:dyDescent="0.3">
      <c r="A8" t="s">
        <v>179</v>
      </c>
      <c r="B8" s="1" t="s">
        <v>180</v>
      </c>
      <c r="C8" s="1">
        <v>2019</v>
      </c>
      <c r="D8" s="1" t="s">
        <v>229</v>
      </c>
      <c r="E8" s="1" t="s">
        <v>240</v>
      </c>
      <c r="F8" s="1" t="s">
        <v>231</v>
      </c>
      <c r="L8" s="1" t="s">
        <v>241</v>
      </c>
      <c r="M8" s="1" t="s">
        <v>247</v>
      </c>
    </row>
    <row r="9" spans="1:13" x14ac:dyDescent="0.3">
      <c r="A9" t="s">
        <v>179</v>
      </c>
      <c r="B9" s="1" t="s">
        <v>180</v>
      </c>
      <c r="C9" s="1">
        <v>2019</v>
      </c>
      <c r="D9" s="1" t="s">
        <v>229</v>
      </c>
      <c r="E9" s="1" t="s">
        <v>242</v>
      </c>
      <c r="F9" s="1" t="s">
        <v>231</v>
      </c>
      <c r="H9" s="1">
        <v>2018</v>
      </c>
      <c r="L9" s="1" t="s">
        <v>243</v>
      </c>
      <c r="M9" s="1" t="s">
        <v>247</v>
      </c>
    </row>
    <row r="10" spans="1:13" x14ac:dyDescent="0.3">
      <c r="A10" t="s">
        <v>179</v>
      </c>
      <c r="B10" s="1" t="s">
        <v>180</v>
      </c>
      <c r="C10" s="1">
        <v>2018</v>
      </c>
      <c r="D10" s="1" t="s">
        <v>229</v>
      </c>
      <c r="E10" s="1" t="s">
        <v>230</v>
      </c>
      <c r="F10" s="1" t="s">
        <v>231</v>
      </c>
      <c r="H10" s="1">
        <v>2017</v>
      </c>
      <c r="L10" s="1" t="s">
        <v>338</v>
      </c>
    </row>
    <row r="11" spans="1:13" x14ac:dyDescent="0.3">
      <c r="A11" t="s">
        <v>179</v>
      </c>
      <c r="B11" s="1" t="s">
        <v>180</v>
      </c>
      <c r="C11" s="1">
        <v>2018</v>
      </c>
      <c r="D11" s="1" t="s">
        <v>229</v>
      </c>
      <c r="E11" s="1" t="s">
        <v>232</v>
      </c>
      <c r="F11" s="1" t="s">
        <v>231</v>
      </c>
      <c r="H11" s="1">
        <v>2016</v>
      </c>
      <c r="L11" s="1" t="s">
        <v>337</v>
      </c>
    </row>
    <row r="12" spans="1:13" x14ac:dyDescent="0.3">
      <c r="A12" t="s">
        <v>179</v>
      </c>
      <c r="B12" s="1" t="s">
        <v>180</v>
      </c>
      <c r="C12" s="1">
        <v>2018</v>
      </c>
      <c r="D12" s="1" t="s">
        <v>229</v>
      </c>
      <c r="E12" s="1" t="s">
        <v>235</v>
      </c>
      <c r="F12" s="1" t="s">
        <v>231</v>
      </c>
    </row>
    <row r="13" spans="1:13" x14ac:dyDescent="0.3">
      <c r="A13" t="s">
        <v>179</v>
      </c>
      <c r="B13" s="1" t="s">
        <v>180</v>
      </c>
      <c r="C13" s="1">
        <v>2018</v>
      </c>
      <c r="D13" s="1" t="s">
        <v>229</v>
      </c>
      <c r="E13" s="1" t="s">
        <v>236</v>
      </c>
      <c r="F13" s="1" t="s">
        <v>231</v>
      </c>
      <c r="H13" s="1">
        <v>2017</v>
      </c>
      <c r="L13" s="1" t="s">
        <v>338</v>
      </c>
    </row>
    <row r="14" spans="1:13" x14ac:dyDescent="0.3">
      <c r="A14" t="s">
        <v>179</v>
      </c>
      <c r="B14" s="1" t="s">
        <v>180</v>
      </c>
      <c r="C14" s="1">
        <v>2018</v>
      </c>
      <c r="D14" s="1" t="s">
        <v>229</v>
      </c>
      <c r="E14" s="1" t="s">
        <v>238</v>
      </c>
      <c r="F14" s="1" t="s">
        <v>231</v>
      </c>
      <c r="H14" s="1">
        <v>2017</v>
      </c>
      <c r="L14" s="1" t="s">
        <v>338</v>
      </c>
    </row>
    <row r="15" spans="1:13" x14ac:dyDescent="0.3">
      <c r="A15" t="s">
        <v>179</v>
      </c>
      <c r="B15" s="1" t="s">
        <v>180</v>
      </c>
      <c r="C15" s="1">
        <v>2018</v>
      </c>
      <c r="D15" s="1" t="s">
        <v>229</v>
      </c>
      <c r="E15" s="1" t="s">
        <v>239</v>
      </c>
      <c r="F15" s="1" t="s">
        <v>231</v>
      </c>
    </row>
    <row r="16" spans="1:13" x14ac:dyDescent="0.3">
      <c r="A16" t="s">
        <v>179</v>
      </c>
      <c r="B16" s="1" t="s">
        <v>180</v>
      </c>
      <c r="C16" s="1">
        <v>2018</v>
      </c>
      <c r="D16" s="1" t="s">
        <v>229</v>
      </c>
      <c r="E16" s="1" t="s">
        <v>240</v>
      </c>
      <c r="F16" s="1" t="s">
        <v>231</v>
      </c>
      <c r="L16" s="1" t="s">
        <v>241</v>
      </c>
    </row>
    <row r="17" spans="1:13" x14ac:dyDescent="0.3">
      <c r="A17" t="s">
        <v>179</v>
      </c>
      <c r="B17" s="1" t="s">
        <v>180</v>
      </c>
      <c r="C17" s="1">
        <v>2018</v>
      </c>
      <c r="D17" s="1" t="s">
        <v>229</v>
      </c>
      <c r="E17" s="1" t="s">
        <v>242</v>
      </c>
      <c r="F17" s="1" t="s">
        <v>231</v>
      </c>
    </row>
    <row r="18" spans="1:13" x14ac:dyDescent="0.3">
      <c r="A18" t="s">
        <v>179</v>
      </c>
      <c r="B18" s="1" t="s">
        <v>180</v>
      </c>
      <c r="C18" s="1">
        <v>2017</v>
      </c>
      <c r="D18" s="1" t="s">
        <v>229</v>
      </c>
      <c r="E18" s="1" t="s">
        <v>347</v>
      </c>
      <c r="F18" s="1" t="s">
        <v>231</v>
      </c>
      <c r="M18" s="1" t="s">
        <v>348</v>
      </c>
    </row>
    <row r="19" spans="1:13" x14ac:dyDescent="0.3">
      <c r="A19" t="s">
        <v>179</v>
      </c>
      <c r="B19" s="1" t="s">
        <v>180</v>
      </c>
      <c r="C19" s="1">
        <v>2003</v>
      </c>
      <c r="D19" s="1" t="s">
        <v>229</v>
      </c>
      <c r="E19" s="1" t="s">
        <v>387</v>
      </c>
      <c r="F19" s="1" t="s">
        <v>231</v>
      </c>
      <c r="H19" s="1">
        <v>2001</v>
      </c>
      <c r="I19" s="1">
        <v>4</v>
      </c>
      <c r="L19" s="1" t="s">
        <v>416</v>
      </c>
    </row>
    <row r="20" spans="1:13" x14ac:dyDescent="0.3">
      <c r="A20" t="s">
        <v>179</v>
      </c>
      <c r="B20" s="1" t="s">
        <v>180</v>
      </c>
      <c r="C20" s="1">
        <v>2003</v>
      </c>
      <c r="D20" s="1" t="s">
        <v>229</v>
      </c>
      <c r="E20" s="1" t="s">
        <v>388</v>
      </c>
      <c r="F20" s="1" t="s">
        <v>231</v>
      </c>
      <c r="M20" s="1" t="s">
        <v>389</v>
      </c>
    </row>
    <row r="21" spans="1:13" x14ac:dyDescent="0.3">
      <c r="A21" t="s">
        <v>179</v>
      </c>
      <c r="B21" s="1" t="s">
        <v>180</v>
      </c>
      <c r="C21" s="1">
        <v>1998</v>
      </c>
      <c r="D21" s="1" t="s">
        <v>229</v>
      </c>
      <c r="E21" s="1" t="s">
        <v>442</v>
      </c>
      <c r="F21" s="1" t="s">
        <v>231</v>
      </c>
      <c r="H21" s="1">
        <v>1989</v>
      </c>
    </row>
    <row r="22" spans="1:13" x14ac:dyDescent="0.3">
      <c r="A22" t="s">
        <v>179</v>
      </c>
      <c r="B22" s="1" t="s">
        <v>180</v>
      </c>
      <c r="C22" s="1">
        <v>1998</v>
      </c>
      <c r="D22" s="1" t="s">
        <v>229</v>
      </c>
      <c r="E22" s="1" t="s">
        <v>443</v>
      </c>
      <c r="F22" s="1" t="s">
        <v>231</v>
      </c>
    </row>
    <row r="23" spans="1:13" x14ac:dyDescent="0.3">
      <c r="A23" t="s">
        <v>179</v>
      </c>
      <c r="B23" s="1" t="s">
        <v>180</v>
      </c>
      <c r="C23" s="1">
        <v>1995</v>
      </c>
      <c r="D23" s="1" t="s">
        <v>229</v>
      </c>
      <c r="E23" s="1" t="s">
        <v>463</v>
      </c>
      <c r="F23" s="1" t="s">
        <v>231</v>
      </c>
    </row>
    <row r="24" spans="1:13" x14ac:dyDescent="0.3">
      <c r="A24" t="s">
        <v>179</v>
      </c>
      <c r="B24" s="1" t="s">
        <v>180</v>
      </c>
      <c r="C24" s="1">
        <v>1995</v>
      </c>
      <c r="D24" s="1" t="s">
        <v>229</v>
      </c>
      <c r="E24" s="1" t="s">
        <v>442</v>
      </c>
      <c r="F24" s="1" t="s">
        <v>231</v>
      </c>
      <c r="H24" s="1">
        <v>1989</v>
      </c>
      <c r="M24" s="1" t="s">
        <v>464</v>
      </c>
    </row>
    <row r="25" spans="1:13" x14ac:dyDescent="0.3">
      <c r="A25" t="s">
        <v>179</v>
      </c>
      <c r="B25" s="1" t="s">
        <v>180</v>
      </c>
      <c r="C25" s="1">
        <v>1994</v>
      </c>
      <c r="D25" s="1" t="s">
        <v>229</v>
      </c>
      <c r="E25" s="1" t="s">
        <v>463</v>
      </c>
      <c r="F25" s="1" t="s">
        <v>231</v>
      </c>
    </row>
    <row r="26" spans="1:13" x14ac:dyDescent="0.3">
      <c r="A26" t="s">
        <v>179</v>
      </c>
      <c r="B26" s="1" t="s">
        <v>180</v>
      </c>
      <c r="C26" s="1">
        <v>1994</v>
      </c>
      <c r="D26" s="1" t="s">
        <v>229</v>
      </c>
      <c r="E26" s="1" t="s">
        <v>442</v>
      </c>
      <c r="F26" s="1" t="s">
        <v>231</v>
      </c>
      <c r="H26" s="1">
        <v>1989</v>
      </c>
      <c r="M26" s="1" t="s">
        <v>464</v>
      </c>
    </row>
    <row r="27" spans="1:13" x14ac:dyDescent="0.3">
      <c r="A27" t="s">
        <v>179</v>
      </c>
      <c r="B27" s="1" t="s">
        <v>180</v>
      </c>
      <c r="C27" s="1">
        <v>1992</v>
      </c>
      <c r="D27" s="1" t="s">
        <v>229</v>
      </c>
      <c r="E27" s="1" t="s">
        <v>486</v>
      </c>
      <c r="F27" s="1" t="s">
        <v>231</v>
      </c>
    </row>
    <row r="28" spans="1:13" x14ac:dyDescent="0.3">
      <c r="A28" t="s">
        <v>179</v>
      </c>
      <c r="B28" s="1" t="s">
        <v>180</v>
      </c>
      <c r="C28" s="1">
        <v>1992</v>
      </c>
      <c r="D28" s="1" t="s">
        <v>229</v>
      </c>
      <c r="E28" s="1" t="s">
        <v>487</v>
      </c>
      <c r="F28" s="1" t="s">
        <v>231</v>
      </c>
      <c r="I28" s="1">
        <v>0.314</v>
      </c>
    </row>
    <row r="29" spans="1:13" x14ac:dyDescent="0.3">
      <c r="A29" t="s">
        <v>179</v>
      </c>
      <c r="B29" s="1" t="s">
        <v>180</v>
      </c>
      <c r="C29" s="1">
        <v>1992</v>
      </c>
      <c r="D29" s="1" t="s">
        <v>229</v>
      </c>
      <c r="E29" s="1" t="s">
        <v>488</v>
      </c>
      <c r="F29" s="1" t="s">
        <v>231</v>
      </c>
    </row>
    <row r="30" spans="1:13" x14ac:dyDescent="0.3">
      <c r="A30" t="s">
        <v>179</v>
      </c>
      <c r="B30" s="1" t="s">
        <v>180</v>
      </c>
      <c r="C30" s="1">
        <v>1992</v>
      </c>
      <c r="D30" s="1" t="s">
        <v>229</v>
      </c>
      <c r="E30" s="1" t="s">
        <v>235</v>
      </c>
      <c r="F30" s="1" t="s">
        <v>231</v>
      </c>
      <c r="I30" s="1">
        <v>7.8E-2</v>
      </c>
    </row>
    <row r="31" spans="1:13" x14ac:dyDescent="0.3">
      <c r="A31" t="s">
        <v>179</v>
      </c>
      <c r="B31" s="1" t="s">
        <v>180</v>
      </c>
      <c r="C31" s="1">
        <v>1992</v>
      </c>
      <c r="D31" s="1" t="s">
        <v>229</v>
      </c>
      <c r="E31" s="1" t="s">
        <v>235</v>
      </c>
      <c r="F31" s="1" t="s">
        <v>231</v>
      </c>
      <c r="I31" s="1">
        <v>0.54200000000000004</v>
      </c>
    </row>
    <row r="32" spans="1:13" x14ac:dyDescent="0.3">
      <c r="A32" t="s">
        <v>179</v>
      </c>
      <c r="B32" s="1" t="s">
        <v>180</v>
      </c>
      <c r="C32" s="1">
        <v>1992</v>
      </c>
      <c r="D32" s="1" t="s">
        <v>229</v>
      </c>
      <c r="E32" s="1" t="s">
        <v>238</v>
      </c>
      <c r="F32" s="1" t="s">
        <v>231</v>
      </c>
      <c r="I32" s="1">
        <v>0.69199999999999995</v>
      </c>
    </row>
    <row r="33" spans="1:9" x14ac:dyDescent="0.3">
      <c r="A33" t="s">
        <v>179</v>
      </c>
      <c r="B33" s="1" t="s">
        <v>180</v>
      </c>
      <c r="C33" s="1">
        <v>1992</v>
      </c>
      <c r="D33" s="1" t="s">
        <v>229</v>
      </c>
      <c r="E33" s="1" t="s">
        <v>239</v>
      </c>
      <c r="F33" s="1" t="s">
        <v>231</v>
      </c>
      <c r="I33" s="1">
        <v>0.54300000000000004</v>
      </c>
    </row>
    <row r="34" spans="1:9" x14ac:dyDescent="0.3">
      <c r="A34" t="s">
        <v>179</v>
      </c>
      <c r="B34" s="1" t="s">
        <v>180</v>
      </c>
      <c r="C34" s="1">
        <v>1992</v>
      </c>
      <c r="D34" s="1" t="s">
        <v>229</v>
      </c>
      <c r="E34" s="1" t="s">
        <v>442</v>
      </c>
      <c r="F34" s="1" t="s">
        <v>231</v>
      </c>
      <c r="I34" s="1">
        <v>1.756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51"/>
  <sheetViews>
    <sheetView workbookViewId="0">
      <pane ySplit="1" topLeftCell="A26" activePane="bottomLeft" state="frozen"/>
      <selection pane="bottomLeft" activeCell="A42" sqref="A42:C51"/>
    </sheetView>
  </sheetViews>
  <sheetFormatPr defaultRowHeight="14.4" x14ac:dyDescent="0.3"/>
  <cols>
    <col min="1" max="16384" width="8.88671875" style="1"/>
  </cols>
  <sheetData>
    <row r="1" spans="1:10" x14ac:dyDescent="0.3">
      <c r="A1" s="2" t="s">
        <v>0</v>
      </c>
      <c r="B1" s="2" t="s">
        <v>27</v>
      </c>
      <c r="C1" s="2" t="s">
        <v>2</v>
      </c>
      <c r="D1" s="2" t="s">
        <v>24</v>
      </c>
      <c r="E1" s="4" t="s">
        <v>134</v>
      </c>
      <c r="F1" s="4" t="s">
        <v>135</v>
      </c>
      <c r="G1" s="2" t="s">
        <v>136</v>
      </c>
      <c r="H1" s="4" t="s">
        <v>110</v>
      </c>
      <c r="I1" s="4" t="s">
        <v>25</v>
      </c>
      <c r="J1" s="4" t="s">
        <v>96</v>
      </c>
    </row>
    <row r="2" spans="1:10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250</v>
      </c>
      <c r="F2" s="1" t="s">
        <v>251</v>
      </c>
      <c r="G2" s="1" t="s">
        <v>185</v>
      </c>
      <c r="H2" s="1">
        <v>2017</v>
      </c>
      <c r="I2" s="1">
        <v>6196</v>
      </c>
    </row>
    <row r="3" spans="1:10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250</v>
      </c>
      <c r="F3" s="1" t="s">
        <v>252</v>
      </c>
      <c r="G3" s="1" t="s">
        <v>185</v>
      </c>
      <c r="H3" s="1">
        <v>2017</v>
      </c>
      <c r="I3" s="1">
        <v>419</v>
      </c>
    </row>
    <row r="4" spans="1:10" x14ac:dyDescent="0.3">
      <c r="A4" t="s">
        <v>179</v>
      </c>
      <c r="B4" s="1" t="s">
        <v>180</v>
      </c>
      <c r="C4" s="1">
        <v>2019</v>
      </c>
      <c r="D4" s="1" t="s">
        <v>249</v>
      </c>
      <c r="E4" s="1" t="s">
        <v>250</v>
      </c>
      <c r="F4" s="1" t="s">
        <v>251</v>
      </c>
      <c r="G4" s="1" t="s">
        <v>185</v>
      </c>
      <c r="H4" s="1">
        <v>2017</v>
      </c>
      <c r="I4" s="1">
        <v>3986</v>
      </c>
    </row>
    <row r="5" spans="1:10" x14ac:dyDescent="0.3">
      <c r="A5" t="s">
        <v>179</v>
      </c>
      <c r="B5" s="1" t="s">
        <v>180</v>
      </c>
      <c r="C5" s="1">
        <v>2019</v>
      </c>
      <c r="D5" s="1" t="s">
        <v>249</v>
      </c>
      <c r="E5" s="1" t="s">
        <v>250</v>
      </c>
      <c r="F5" s="1" t="s">
        <v>252</v>
      </c>
      <c r="G5" s="1" t="s">
        <v>185</v>
      </c>
      <c r="H5" s="1">
        <v>2017</v>
      </c>
      <c r="I5" s="1">
        <v>318</v>
      </c>
    </row>
    <row r="6" spans="1:10" x14ac:dyDescent="0.3">
      <c r="A6" t="s">
        <v>179</v>
      </c>
      <c r="B6" s="1" t="s">
        <v>180</v>
      </c>
      <c r="C6" s="1">
        <v>2019</v>
      </c>
      <c r="D6" s="1" t="s">
        <v>224</v>
      </c>
      <c r="E6" s="1" t="s">
        <v>250</v>
      </c>
      <c r="F6" s="1" t="s">
        <v>251</v>
      </c>
      <c r="G6" s="1" t="s">
        <v>185</v>
      </c>
      <c r="H6" s="1">
        <v>2016</v>
      </c>
      <c r="I6" s="1">
        <v>6282</v>
      </c>
    </row>
    <row r="7" spans="1:10" x14ac:dyDescent="0.3">
      <c r="A7" t="s">
        <v>179</v>
      </c>
      <c r="B7" s="1" t="s">
        <v>180</v>
      </c>
      <c r="C7" s="1">
        <v>2019</v>
      </c>
      <c r="D7" s="1" t="s">
        <v>224</v>
      </c>
      <c r="E7" s="1" t="s">
        <v>250</v>
      </c>
      <c r="F7" s="1" t="s">
        <v>252</v>
      </c>
      <c r="G7" s="1" t="s">
        <v>185</v>
      </c>
      <c r="H7" s="1">
        <v>2016</v>
      </c>
      <c r="I7" s="1">
        <v>362</v>
      </c>
    </row>
    <row r="8" spans="1:10" x14ac:dyDescent="0.3">
      <c r="A8" t="s">
        <v>179</v>
      </c>
      <c r="B8" s="1" t="s">
        <v>180</v>
      </c>
      <c r="C8" s="1">
        <v>2019</v>
      </c>
      <c r="D8" s="1" t="s">
        <v>249</v>
      </c>
      <c r="E8" s="1" t="s">
        <v>250</v>
      </c>
      <c r="F8" s="1" t="s">
        <v>251</v>
      </c>
      <c r="G8" s="1" t="s">
        <v>185</v>
      </c>
      <c r="H8" s="1">
        <v>2016</v>
      </c>
      <c r="I8" s="1">
        <v>4054</v>
      </c>
    </row>
    <row r="9" spans="1:10" x14ac:dyDescent="0.3">
      <c r="A9" t="s">
        <v>179</v>
      </c>
      <c r="B9" s="1" t="s">
        <v>180</v>
      </c>
      <c r="C9" s="1">
        <v>2019</v>
      </c>
      <c r="D9" s="1" t="s">
        <v>249</v>
      </c>
      <c r="E9" s="1" t="s">
        <v>250</v>
      </c>
      <c r="F9" s="1" t="s">
        <v>252</v>
      </c>
      <c r="G9" s="1" t="s">
        <v>185</v>
      </c>
      <c r="H9" s="1">
        <v>2016</v>
      </c>
      <c r="I9" s="1">
        <v>310</v>
      </c>
    </row>
    <row r="10" spans="1:10" x14ac:dyDescent="0.3">
      <c r="A10" t="s">
        <v>179</v>
      </c>
      <c r="B10" s="1" t="s">
        <v>180</v>
      </c>
      <c r="C10" s="1">
        <v>2019</v>
      </c>
      <c r="D10" s="1" t="s">
        <v>224</v>
      </c>
      <c r="E10" s="1" t="s">
        <v>250</v>
      </c>
      <c r="F10" s="1" t="s">
        <v>251</v>
      </c>
      <c r="G10" s="1" t="s">
        <v>185</v>
      </c>
      <c r="H10" s="1">
        <v>2015</v>
      </c>
      <c r="I10" s="1">
        <v>6282</v>
      </c>
    </row>
    <row r="11" spans="1:10" x14ac:dyDescent="0.3">
      <c r="A11" t="s">
        <v>179</v>
      </c>
      <c r="B11" s="1" t="s">
        <v>180</v>
      </c>
      <c r="C11" s="1">
        <v>2019</v>
      </c>
      <c r="D11" s="1" t="s">
        <v>224</v>
      </c>
      <c r="E11" s="1" t="s">
        <v>250</v>
      </c>
      <c r="F11" s="1" t="s">
        <v>252</v>
      </c>
      <c r="G11" s="1" t="s">
        <v>185</v>
      </c>
      <c r="H11" s="1">
        <v>2015</v>
      </c>
      <c r="I11" s="1">
        <v>361</v>
      </c>
    </row>
    <row r="12" spans="1:10" x14ac:dyDescent="0.3">
      <c r="A12" t="s">
        <v>179</v>
      </c>
      <c r="B12" s="1" t="s">
        <v>180</v>
      </c>
      <c r="C12" s="1">
        <v>2019</v>
      </c>
      <c r="D12" s="1" t="s">
        <v>249</v>
      </c>
      <c r="E12" s="1" t="s">
        <v>250</v>
      </c>
      <c r="F12" s="1" t="s">
        <v>251</v>
      </c>
      <c r="G12" s="1" t="s">
        <v>185</v>
      </c>
      <c r="H12" s="1">
        <v>2015</v>
      </c>
      <c r="I12" s="1">
        <v>4068</v>
      </c>
    </row>
    <row r="13" spans="1:10" x14ac:dyDescent="0.3">
      <c r="A13" t="s">
        <v>179</v>
      </c>
      <c r="B13" s="1" t="s">
        <v>180</v>
      </c>
      <c r="C13" s="1">
        <v>2019</v>
      </c>
      <c r="D13" s="1" t="s">
        <v>249</v>
      </c>
      <c r="E13" s="1" t="s">
        <v>250</v>
      </c>
      <c r="F13" s="1" t="s">
        <v>252</v>
      </c>
      <c r="G13" s="1" t="s">
        <v>185</v>
      </c>
      <c r="H13" s="1">
        <v>2015</v>
      </c>
      <c r="I13" s="1">
        <v>300</v>
      </c>
    </row>
    <row r="14" spans="1:10" x14ac:dyDescent="0.3">
      <c r="A14" t="s">
        <v>179</v>
      </c>
      <c r="B14" s="1" t="s">
        <v>180</v>
      </c>
      <c r="C14" s="1">
        <v>2019</v>
      </c>
      <c r="D14" s="1" t="s">
        <v>224</v>
      </c>
      <c r="E14" s="1" t="s">
        <v>250</v>
      </c>
      <c r="F14" s="1" t="s">
        <v>251</v>
      </c>
      <c r="G14" s="1" t="s">
        <v>185</v>
      </c>
      <c r="H14" s="1">
        <v>2014</v>
      </c>
      <c r="I14" s="1">
        <v>6247</v>
      </c>
    </row>
    <row r="15" spans="1:10" x14ac:dyDescent="0.3">
      <c r="A15" t="s">
        <v>179</v>
      </c>
      <c r="B15" s="1" t="s">
        <v>180</v>
      </c>
      <c r="C15" s="1">
        <v>2019</v>
      </c>
      <c r="D15" s="1" t="s">
        <v>224</v>
      </c>
      <c r="E15" s="1" t="s">
        <v>250</v>
      </c>
      <c r="F15" s="1" t="s">
        <v>251</v>
      </c>
      <c r="G15" s="1" t="s">
        <v>185</v>
      </c>
      <c r="H15" s="1">
        <v>2014</v>
      </c>
      <c r="I15" s="1">
        <v>356</v>
      </c>
    </row>
    <row r="16" spans="1:10" x14ac:dyDescent="0.3">
      <c r="A16" t="s">
        <v>179</v>
      </c>
      <c r="B16" s="1" t="s">
        <v>180</v>
      </c>
      <c r="C16" s="1">
        <v>2019</v>
      </c>
      <c r="D16" s="1" t="s">
        <v>249</v>
      </c>
      <c r="E16" s="1" t="s">
        <v>250</v>
      </c>
      <c r="F16" s="1" t="s">
        <v>252</v>
      </c>
      <c r="G16" s="1" t="s">
        <v>185</v>
      </c>
      <c r="H16" s="1">
        <v>2014</v>
      </c>
      <c r="I16" s="1">
        <v>4047</v>
      </c>
    </row>
    <row r="17" spans="1:9" x14ac:dyDescent="0.3">
      <c r="A17" t="s">
        <v>179</v>
      </c>
      <c r="B17" s="1" t="s">
        <v>180</v>
      </c>
      <c r="C17" s="1">
        <v>2019</v>
      </c>
      <c r="D17" s="1" t="s">
        <v>249</v>
      </c>
      <c r="E17" s="1" t="s">
        <v>250</v>
      </c>
      <c r="F17" s="1" t="s">
        <v>251</v>
      </c>
      <c r="G17" s="1" t="s">
        <v>185</v>
      </c>
      <c r="H17" s="1">
        <v>2014</v>
      </c>
      <c r="I17" s="1">
        <v>309</v>
      </c>
    </row>
    <row r="18" spans="1:9" x14ac:dyDescent="0.3">
      <c r="A18" t="s">
        <v>179</v>
      </c>
      <c r="B18" s="1" t="s">
        <v>180</v>
      </c>
      <c r="C18" s="1">
        <v>2019</v>
      </c>
      <c r="D18" s="1" t="s">
        <v>224</v>
      </c>
      <c r="E18" s="1" t="s">
        <v>250</v>
      </c>
      <c r="F18" s="1" t="s">
        <v>252</v>
      </c>
      <c r="G18" s="1" t="s">
        <v>185</v>
      </c>
      <c r="H18" s="1">
        <v>2013</v>
      </c>
      <c r="I18" s="1">
        <v>6273</v>
      </c>
    </row>
    <row r="19" spans="1:9" x14ac:dyDescent="0.3">
      <c r="A19" t="s">
        <v>179</v>
      </c>
      <c r="B19" s="1" t="s">
        <v>180</v>
      </c>
      <c r="C19" s="1">
        <v>2019</v>
      </c>
      <c r="D19" s="1" t="s">
        <v>224</v>
      </c>
      <c r="E19" s="1" t="s">
        <v>250</v>
      </c>
      <c r="F19" s="1" t="s">
        <v>251</v>
      </c>
      <c r="G19" s="1" t="s">
        <v>185</v>
      </c>
      <c r="H19" s="1">
        <v>2013</v>
      </c>
      <c r="I19" s="1">
        <v>411</v>
      </c>
    </row>
    <row r="20" spans="1:9" x14ac:dyDescent="0.3">
      <c r="A20" t="s">
        <v>179</v>
      </c>
      <c r="B20" s="1" t="s">
        <v>180</v>
      </c>
      <c r="C20" s="1">
        <v>2019</v>
      </c>
      <c r="D20" s="1" t="s">
        <v>249</v>
      </c>
      <c r="E20" s="1" t="s">
        <v>250</v>
      </c>
      <c r="F20" s="1" t="s">
        <v>252</v>
      </c>
      <c r="G20" s="1" t="s">
        <v>185</v>
      </c>
      <c r="H20" s="1">
        <v>2013</v>
      </c>
      <c r="I20" s="1">
        <v>4099</v>
      </c>
    </row>
    <row r="21" spans="1:9" x14ac:dyDescent="0.3">
      <c r="A21" t="s">
        <v>179</v>
      </c>
      <c r="B21" s="1" t="s">
        <v>180</v>
      </c>
      <c r="C21" s="1">
        <v>2019</v>
      </c>
      <c r="D21" s="1" t="s">
        <v>249</v>
      </c>
      <c r="E21" s="1" t="s">
        <v>250</v>
      </c>
      <c r="F21" s="1" t="s">
        <v>251</v>
      </c>
      <c r="G21" s="1" t="s">
        <v>185</v>
      </c>
      <c r="H21" s="1">
        <v>2013</v>
      </c>
      <c r="I21" s="1">
        <v>320</v>
      </c>
    </row>
    <row r="22" spans="1:9" x14ac:dyDescent="0.3">
      <c r="A22" t="s">
        <v>179</v>
      </c>
      <c r="B22" s="1" t="s">
        <v>180</v>
      </c>
      <c r="C22" s="1">
        <v>2017</v>
      </c>
      <c r="D22" s="1" t="s">
        <v>249</v>
      </c>
      <c r="E22" s="1" t="s">
        <v>250</v>
      </c>
      <c r="F22" s="1" t="s">
        <v>252</v>
      </c>
      <c r="G22" s="1" t="s">
        <v>185</v>
      </c>
      <c r="H22" s="1">
        <v>2012</v>
      </c>
      <c r="I22" s="1">
        <v>6288</v>
      </c>
    </row>
    <row r="23" spans="1:9" x14ac:dyDescent="0.3">
      <c r="A23" t="s">
        <v>179</v>
      </c>
      <c r="B23" s="1" t="s">
        <v>180</v>
      </c>
      <c r="C23" s="1">
        <v>2017</v>
      </c>
      <c r="D23" s="1" t="s">
        <v>249</v>
      </c>
      <c r="E23" s="1" t="s">
        <v>250</v>
      </c>
      <c r="F23" s="1" t="s">
        <v>251</v>
      </c>
      <c r="G23" s="1" t="s">
        <v>185</v>
      </c>
      <c r="H23" s="1">
        <v>2012</v>
      </c>
      <c r="I23" s="1">
        <v>398</v>
      </c>
    </row>
    <row r="24" spans="1:9" x14ac:dyDescent="0.3">
      <c r="A24" t="s">
        <v>179</v>
      </c>
      <c r="B24" s="1" t="s">
        <v>180</v>
      </c>
      <c r="C24" s="1">
        <v>2017</v>
      </c>
      <c r="D24" s="1" t="s">
        <v>249</v>
      </c>
      <c r="E24" s="1" t="s">
        <v>250</v>
      </c>
      <c r="F24" s="1" t="s">
        <v>252</v>
      </c>
      <c r="G24" s="1" t="s">
        <v>185</v>
      </c>
      <c r="H24" s="1">
        <v>2012</v>
      </c>
      <c r="I24" s="1">
        <v>4104</v>
      </c>
    </row>
    <row r="25" spans="1:9" x14ac:dyDescent="0.3">
      <c r="A25" t="s">
        <v>179</v>
      </c>
      <c r="B25" s="1" t="s">
        <v>180</v>
      </c>
      <c r="C25" s="1">
        <v>2017</v>
      </c>
      <c r="D25" s="1" t="s">
        <v>249</v>
      </c>
      <c r="E25" s="1" t="s">
        <v>250</v>
      </c>
      <c r="F25" s="1" t="s">
        <v>251</v>
      </c>
      <c r="G25" s="1" t="s">
        <v>185</v>
      </c>
      <c r="H25" s="1">
        <v>2012</v>
      </c>
      <c r="I25" s="1">
        <v>314</v>
      </c>
    </row>
    <row r="26" spans="1:9" x14ac:dyDescent="0.3">
      <c r="A26" t="s">
        <v>179</v>
      </c>
      <c r="B26" s="1" t="s">
        <v>180</v>
      </c>
      <c r="C26" s="1">
        <v>2003</v>
      </c>
      <c r="D26" s="1" t="s">
        <v>224</v>
      </c>
      <c r="E26" s="1" t="s">
        <v>246</v>
      </c>
      <c r="F26" s="1" t="s">
        <v>185</v>
      </c>
      <c r="G26" s="1" t="s">
        <v>185</v>
      </c>
      <c r="H26" s="1">
        <v>2002</v>
      </c>
      <c r="I26" s="1">
        <v>6677</v>
      </c>
    </row>
    <row r="27" spans="1:9" x14ac:dyDescent="0.3">
      <c r="A27" t="s">
        <v>179</v>
      </c>
      <c r="B27" s="1" t="s">
        <v>180</v>
      </c>
      <c r="C27" s="1">
        <v>2003</v>
      </c>
      <c r="D27" s="1" t="s">
        <v>249</v>
      </c>
      <c r="E27" s="1" t="s">
        <v>246</v>
      </c>
      <c r="F27" s="1" t="s">
        <v>185</v>
      </c>
      <c r="G27" s="1" t="s">
        <v>185</v>
      </c>
      <c r="H27" s="1">
        <v>2002</v>
      </c>
      <c r="I27" s="1">
        <v>4551</v>
      </c>
    </row>
    <row r="28" spans="1:9" x14ac:dyDescent="0.3">
      <c r="A28" t="s">
        <v>179</v>
      </c>
      <c r="B28" s="1" t="s">
        <v>180</v>
      </c>
      <c r="C28" s="1">
        <v>2003</v>
      </c>
      <c r="D28" s="1" t="s">
        <v>224</v>
      </c>
      <c r="E28" s="1" t="s">
        <v>246</v>
      </c>
      <c r="F28" s="1" t="s">
        <v>185</v>
      </c>
      <c r="G28" s="1" t="s">
        <v>185</v>
      </c>
      <c r="H28" s="1">
        <v>2001</v>
      </c>
      <c r="I28" s="1">
        <v>6716</v>
      </c>
    </row>
    <row r="29" spans="1:9" x14ac:dyDescent="0.3">
      <c r="A29" t="s">
        <v>179</v>
      </c>
      <c r="B29" s="1" t="s">
        <v>180</v>
      </c>
      <c r="C29" s="1">
        <v>2003</v>
      </c>
      <c r="D29" s="1" t="s">
        <v>249</v>
      </c>
      <c r="E29" s="1" t="s">
        <v>246</v>
      </c>
      <c r="F29" s="1" t="s">
        <v>185</v>
      </c>
      <c r="G29" s="1" t="s">
        <v>185</v>
      </c>
      <c r="H29" s="1">
        <v>2001</v>
      </c>
      <c r="I29" s="1">
        <v>4593</v>
      </c>
    </row>
    <row r="30" spans="1:9" x14ac:dyDescent="0.3">
      <c r="A30" t="s">
        <v>179</v>
      </c>
      <c r="B30" s="1" t="s">
        <v>180</v>
      </c>
      <c r="C30" s="1">
        <v>2003</v>
      </c>
      <c r="D30" s="1" t="s">
        <v>224</v>
      </c>
      <c r="E30" s="1" t="s">
        <v>246</v>
      </c>
      <c r="F30" s="1" t="s">
        <v>185</v>
      </c>
      <c r="G30" s="1" t="s">
        <v>185</v>
      </c>
      <c r="H30" s="1">
        <v>2000</v>
      </c>
      <c r="I30" s="1">
        <v>6736</v>
      </c>
    </row>
    <row r="31" spans="1:9" x14ac:dyDescent="0.3">
      <c r="A31" t="s">
        <v>179</v>
      </c>
      <c r="B31" s="1" t="s">
        <v>180</v>
      </c>
      <c r="C31" s="1">
        <v>2003</v>
      </c>
      <c r="D31" s="1" t="s">
        <v>249</v>
      </c>
      <c r="E31" s="1" t="s">
        <v>246</v>
      </c>
      <c r="F31" s="1" t="s">
        <v>185</v>
      </c>
      <c r="G31" s="1" t="s">
        <v>185</v>
      </c>
      <c r="H31" s="1">
        <v>2000</v>
      </c>
      <c r="I31" s="1">
        <v>4627</v>
      </c>
    </row>
    <row r="32" spans="1:9" x14ac:dyDescent="0.3">
      <c r="A32" t="s">
        <v>179</v>
      </c>
      <c r="B32" s="1" t="s">
        <v>180</v>
      </c>
      <c r="C32" s="1">
        <v>2003</v>
      </c>
      <c r="D32" s="1" t="s">
        <v>224</v>
      </c>
      <c r="E32" s="1" t="s">
        <v>246</v>
      </c>
      <c r="F32" s="1" t="s">
        <v>185</v>
      </c>
      <c r="G32" s="1" t="s">
        <v>185</v>
      </c>
      <c r="H32" s="1">
        <v>1999</v>
      </c>
      <c r="I32" s="1">
        <v>6751</v>
      </c>
    </row>
    <row r="33" spans="1:10" x14ac:dyDescent="0.3">
      <c r="A33" t="s">
        <v>179</v>
      </c>
      <c r="B33" s="1" t="s">
        <v>180</v>
      </c>
      <c r="C33" s="1">
        <v>2003</v>
      </c>
      <c r="D33" s="1" t="s">
        <v>249</v>
      </c>
      <c r="E33" s="1" t="s">
        <v>246</v>
      </c>
      <c r="F33" s="1" t="s">
        <v>185</v>
      </c>
      <c r="G33" s="1" t="s">
        <v>185</v>
      </c>
      <c r="H33" s="1">
        <v>1999</v>
      </c>
      <c r="I33" s="1">
        <v>4664</v>
      </c>
    </row>
    <row r="34" spans="1:10" x14ac:dyDescent="0.3">
      <c r="A34" t="s">
        <v>179</v>
      </c>
      <c r="B34" s="1" t="s">
        <v>180</v>
      </c>
      <c r="C34" s="1">
        <v>2003</v>
      </c>
      <c r="D34" s="1" t="s">
        <v>224</v>
      </c>
      <c r="E34" s="1" t="s">
        <v>246</v>
      </c>
      <c r="F34" s="1" t="s">
        <v>185</v>
      </c>
      <c r="G34" s="1" t="s">
        <v>185</v>
      </c>
      <c r="H34" s="1">
        <v>1998</v>
      </c>
      <c r="I34" s="1">
        <v>6774</v>
      </c>
    </row>
    <row r="35" spans="1:10" x14ac:dyDescent="0.3">
      <c r="A35" t="s">
        <v>179</v>
      </c>
      <c r="B35" s="1" t="s">
        <v>180</v>
      </c>
      <c r="C35" s="1">
        <v>2003</v>
      </c>
      <c r="D35" s="1" t="s">
        <v>249</v>
      </c>
      <c r="E35" s="1" t="s">
        <v>246</v>
      </c>
      <c r="F35" s="1" t="s">
        <v>185</v>
      </c>
      <c r="G35" s="1" t="s">
        <v>185</v>
      </c>
      <c r="H35" s="1">
        <v>1998</v>
      </c>
      <c r="I35" s="1">
        <v>4715</v>
      </c>
    </row>
    <row r="36" spans="1:10" x14ac:dyDescent="0.3">
      <c r="A36" t="s">
        <v>179</v>
      </c>
      <c r="B36" s="1" t="s">
        <v>180</v>
      </c>
      <c r="C36" s="1">
        <v>1995</v>
      </c>
      <c r="D36" s="1" t="s">
        <v>224</v>
      </c>
      <c r="E36" s="1" t="s">
        <v>250</v>
      </c>
      <c r="F36" s="1" t="s">
        <v>252</v>
      </c>
      <c r="G36" s="1" t="s">
        <v>185</v>
      </c>
      <c r="H36" s="1">
        <v>1993</v>
      </c>
      <c r="J36" s="50">
        <v>206549</v>
      </c>
    </row>
    <row r="37" spans="1:10" x14ac:dyDescent="0.3">
      <c r="A37" t="s">
        <v>179</v>
      </c>
      <c r="B37" s="1" t="s">
        <v>180</v>
      </c>
      <c r="C37" s="1">
        <v>1995</v>
      </c>
      <c r="D37" s="1" t="s">
        <v>224</v>
      </c>
      <c r="E37" s="1" t="s">
        <v>250</v>
      </c>
      <c r="F37" s="1" t="s">
        <v>251</v>
      </c>
      <c r="G37" s="1" t="s">
        <v>185</v>
      </c>
      <c r="H37" s="1">
        <v>1993</v>
      </c>
      <c r="J37" s="50">
        <v>869913</v>
      </c>
    </row>
    <row r="38" spans="1:10" x14ac:dyDescent="0.3">
      <c r="A38" t="s">
        <v>179</v>
      </c>
      <c r="B38" s="1" t="s">
        <v>180</v>
      </c>
      <c r="C38" s="1">
        <v>1995</v>
      </c>
      <c r="D38" s="1" t="s">
        <v>249</v>
      </c>
      <c r="E38" s="1" t="s">
        <v>250</v>
      </c>
      <c r="F38" s="1" t="s">
        <v>252</v>
      </c>
      <c r="G38" s="1" t="s">
        <v>185</v>
      </c>
      <c r="H38" s="1">
        <v>1993</v>
      </c>
      <c r="J38" s="50">
        <v>112460</v>
      </c>
    </row>
    <row r="39" spans="1:10" x14ac:dyDescent="0.3">
      <c r="A39" t="s">
        <v>179</v>
      </c>
      <c r="B39" s="1" t="s">
        <v>180</v>
      </c>
      <c r="C39" s="1">
        <v>1995</v>
      </c>
      <c r="D39" s="1" t="s">
        <v>249</v>
      </c>
      <c r="E39" s="1" t="s">
        <v>250</v>
      </c>
      <c r="F39" s="1" t="s">
        <v>251</v>
      </c>
      <c r="G39" s="1" t="s">
        <v>465</v>
      </c>
      <c r="H39" s="1">
        <v>1993</v>
      </c>
      <c r="J39" s="50">
        <v>453136</v>
      </c>
    </row>
    <row r="40" spans="1:10" x14ac:dyDescent="0.3">
      <c r="A40" t="s">
        <v>179</v>
      </c>
      <c r="B40" s="1" t="s">
        <v>180</v>
      </c>
      <c r="C40" s="1">
        <v>1994</v>
      </c>
      <c r="D40" s="1" t="s">
        <v>181</v>
      </c>
      <c r="E40" s="1" t="s">
        <v>250</v>
      </c>
      <c r="F40" s="1" t="s">
        <v>251</v>
      </c>
      <c r="G40" s="1" t="s">
        <v>185</v>
      </c>
      <c r="H40" s="1">
        <v>1993</v>
      </c>
      <c r="J40" s="1" t="s">
        <v>475</v>
      </c>
    </row>
    <row r="41" spans="1:10" x14ac:dyDescent="0.3">
      <c r="A41" t="s">
        <v>179</v>
      </c>
      <c r="B41" s="1" t="s">
        <v>180</v>
      </c>
      <c r="C41" s="1">
        <v>1994</v>
      </c>
      <c r="D41" s="1" t="s">
        <v>181</v>
      </c>
      <c r="E41" s="1" t="s">
        <v>250</v>
      </c>
      <c r="F41" s="1" t="s">
        <v>252</v>
      </c>
      <c r="G41" s="1" t="s">
        <v>185</v>
      </c>
      <c r="H41" s="1">
        <v>1993</v>
      </c>
      <c r="J41" s="1" t="s">
        <v>476</v>
      </c>
    </row>
    <row r="42" spans="1:10" x14ac:dyDescent="0.3">
      <c r="A42" t="s">
        <v>179</v>
      </c>
      <c r="B42" s="1" t="s">
        <v>180</v>
      </c>
      <c r="C42" s="1">
        <v>1992</v>
      </c>
      <c r="D42" s="1" t="s">
        <v>224</v>
      </c>
      <c r="E42" s="1" t="s">
        <v>246</v>
      </c>
      <c r="F42" s="1" t="s">
        <v>185</v>
      </c>
      <c r="G42" s="1" t="s">
        <v>185</v>
      </c>
      <c r="H42" s="1">
        <v>1992</v>
      </c>
      <c r="I42" s="1">
        <v>5709</v>
      </c>
    </row>
    <row r="43" spans="1:10" x14ac:dyDescent="0.3">
      <c r="A43" t="s">
        <v>179</v>
      </c>
      <c r="B43" s="1" t="s">
        <v>180</v>
      </c>
      <c r="C43" s="1">
        <v>1992</v>
      </c>
      <c r="D43" s="1" t="s">
        <v>224</v>
      </c>
      <c r="E43" s="1" t="s">
        <v>246</v>
      </c>
      <c r="F43" s="1" t="s">
        <v>185</v>
      </c>
      <c r="G43" s="1" t="s">
        <v>185</v>
      </c>
      <c r="H43" s="1">
        <v>1991</v>
      </c>
      <c r="I43" s="1">
        <v>5709</v>
      </c>
    </row>
    <row r="44" spans="1:10" x14ac:dyDescent="0.3">
      <c r="A44" t="s">
        <v>179</v>
      </c>
      <c r="B44" s="1" t="s">
        <v>180</v>
      </c>
      <c r="C44" s="1">
        <v>1992</v>
      </c>
      <c r="D44" s="1" t="s">
        <v>224</v>
      </c>
      <c r="E44" s="1" t="s">
        <v>246</v>
      </c>
      <c r="F44" s="1" t="s">
        <v>185</v>
      </c>
      <c r="G44" s="1" t="s">
        <v>185</v>
      </c>
      <c r="H44" s="1">
        <v>1990</v>
      </c>
      <c r="I44" s="1">
        <v>5706</v>
      </c>
    </row>
    <row r="45" spans="1:10" x14ac:dyDescent="0.3">
      <c r="A45" t="s">
        <v>179</v>
      </c>
      <c r="B45" s="1" t="s">
        <v>180</v>
      </c>
      <c r="C45" s="1">
        <v>1992</v>
      </c>
      <c r="D45" s="1" t="s">
        <v>224</v>
      </c>
      <c r="E45" s="1" t="s">
        <v>246</v>
      </c>
      <c r="F45" s="1" t="s">
        <v>185</v>
      </c>
      <c r="G45" s="1" t="s">
        <v>185</v>
      </c>
      <c r="H45" s="1">
        <v>1989</v>
      </c>
      <c r="I45" s="1">
        <v>8338</v>
      </c>
    </row>
    <row r="46" spans="1:10" x14ac:dyDescent="0.3">
      <c r="A46" t="s">
        <v>179</v>
      </c>
      <c r="B46" s="1" t="s">
        <v>180</v>
      </c>
      <c r="C46" s="1">
        <v>1992</v>
      </c>
      <c r="D46" s="1" t="s">
        <v>224</v>
      </c>
      <c r="E46" s="1" t="s">
        <v>246</v>
      </c>
      <c r="F46" s="1" t="s">
        <v>185</v>
      </c>
      <c r="G46" s="1" t="s">
        <v>185</v>
      </c>
      <c r="H46" s="1">
        <v>1988</v>
      </c>
      <c r="I46" s="1">
        <v>7942</v>
      </c>
    </row>
    <row r="47" spans="1:10" x14ac:dyDescent="0.3">
      <c r="A47" t="s">
        <v>179</v>
      </c>
      <c r="B47" s="1" t="s">
        <v>180</v>
      </c>
      <c r="C47" s="1">
        <v>1992</v>
      </c>
      <c r="D47" s="1" t="s">
        <v>249</v>
      </c>
      <c r="E47" s="1" t="s">
        <v>246</v>
      </c>
      <c r="F47" s="1" t="s">
        <v>185</v>
      </c>
      <c r="G47" s="1" t="s">
        <v>185</v>
      </c>
      <c r="H47" s="1">
        <v>1992</v>
      </c>
      <c r="I47" s="1">
        <v>5821</v>
      </c>
    </row>
    <row r="48" spans="1:10" x14ac:dyDescent="0.3">
      <c r="A48" t="s">
        <v>179</v>
      </c>
      <c r="B48" s="1" t="s">
        <v>180</v>
      </c>
      <c r="C48" s="1">
        <v>1992</v>
      </c>
      <c r="D48" s="1" t="s">
        <v>249</v>
      </c>
      <c r="E48" s="1" t="s">
        <v>246</v>
      </c>
      <c r="F48" s="1" t="s">
        <v>185</v>
      </c>
      <c r="G48" s="1" t="s">
        <v>185</v>
      </c>
      <c r="H48" s="1">
        <v>1991</v>
      </c>
      <c r="I48" s="1">
        <v>5821</v>
      </c>
    </row>
    <row r="49" spans="1:9" x14ac:dyDescent="0.3">
      <c r="A49" t="s">
        <v>179</v>
      </c>
      <c r="B49" s="1" t="s">
        <v>180</v>
      </c>
      <c r="C49" s="1">
        <v>1992</v>
      </c>
      <c r="D49" s="1" t="s">
        <v>249</v>
      </c>
      <c r="E49" s="1" t="s">
        <v>246</v>
      </c>
      <c r="F49" s="1" t="s">
        <v>185</v>
      </c>
      <c r="G49" s="1" t="s">
        <v>185</v>
      </c>
      <c r="H49" s="1">
        <v>1990</v>
      </c>
      <c r="I49" s="1">
        <v>6690</v>
      </c>
    </row>
    <row r="50" spans="1:9" x14ac:dyDescent="0.3">
      <c r="A50" t="s">
        <v>179</v>
      </c>
      <c r="B50" s="1" t="s">
        <v>180</v>
      </c>
      <c r="C50" s="1">
        <v>1992</v>
      </c>
      <c r="D50" s="1" t="s">
        <v>249</v>
      </c>
      <c r="E50" s="1" t="s">
        <v>246</v>
      </c>
      <c r="F50" s="1" t="s">
        <v>185</v>
      </c>
      <c r="G50" s="1" t="s">
        <v>185</v>
      </c>
      <c r="H50" s="1">
        <v>1989</v>
      </c>
      <c r="I50" s="1">
        <v>6577</v>
      </c>
    </row>
    <row r="51" spans="1:9" x14ac:dyDescent="0.3">
      <c r="A51" t="s">
        <v>179</v>
      </c>
      <c r="B51" s="1" t="s">
        <v>180</v>
      </c>
      <c r="C51" s="1">
        <v>1992</v>
      </c>
      <c r="D51" s="1" t="s">
        <v>249</v>
      </c>
      <c r="E51" s="1" t="s">
        <v>246</v>
      </c>
      <c r="F51" s="1" t="s">
        <v>185</v>
      </c>
      <c r="G51" s="1" t="s">
        <v>185</v>
      </c>
      <c r="H51" s="1">
        <v>1988</v>
      </c>
      <c r="I51" s="1">
        <v>5214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14"/>
  <sheetViews>
    <sheetView topLeftCell="C1" workbookViewId="0">
      <selection activeCell="E15" sqref="E15"/>
    </sheetView>
  </sheetViews>
  <sheetFormatPr defaultRowHeight="14.4" x14ac:dyDescent="0.3"/>
  <cols>
    <col min="1" max="3" width="8.88671875" style="1"/>
    <col min="4" max="4" width="11.21875" style="1" bestFit="1" customWidth="1"/>
    <col min="5" max="10" width="8.88671875" style="1"/>
    <col min="11" max="11" width="10.88671875" style="1" bestFit="1" customWidth="1"/>
    <col min="12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134</v>
      </c>
      <c r="F1" s="2" t="s">
        <v>137</v>
      </c>
      <c r="G1" s="2" t="s">
        <v>135</v>
      </c>
      <c r="H1" s="2" t="s">
        <v>110</v>
      </c>
      <c r="I1" s="2" t="s">
        <v>138</v>
      </c>
      <c r="J1" s="2" t="s">
        <v>176</v>
      </c>
      <c r="K1" s="4" t="s">
        <v>139</v>
      </c>
      <c r="L1" s="4" t="s">
        <v>177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244</v>
      </c>
      <c r="F2" s="1" t="s">
        <v>245</v>
      </c>
      <c r="G2" s="1" t="s">
        <v>246</v>
      </c>
      <c r="H2" s="1">
        <v>2019</v>
      </c>
      <c r="I2" s="1">
        <v>4</v>
      </c>
      <c r="K2" s="1">
        <f>I2*365</f>
        <v>1460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339</v>
      </c>
      <c r="F3" s="1" t="s">
        <v>245</v>
      </c>
      <c r="G3" s="1" t="s">
        <v>246</v>
      </c>
      <c r="H3" s="1">
        <v>2019</v>
      </c>
      <c r="K3" s="20">
        <f>365562100/1000000</f>
        <v>365.56209999999999</v>
      </c>
      <c r="M3" s="1" t="s">
        <v>248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249</v>
      </c>
      <c r="E4" s="1" t="s">
        <v>390</v>
      </c>
      <c r="F4" s="1" t="s">
        <v>245</v>
      </c>
      <c r="G4" s="1" t="s">
        <v>246</v>
      </c>
      <c r="H4" s="1">
        <v>2019</v>
      </c>
      <c r="I4" s="1">
        <v>3.4</v>
      </c>
      <c r="J4" s="1">
        <v>7</v>
      </c>
    </row>
    <row r="5" spans="1:13" x14ac:dyDescent="0.3">
      <c r="A5" t="s">
        <v>179</v>
      </c>
      <c r="B5" s="1" t="s">
        <v>180</v>
      </c>
      <c r="C5" s="1">
        <v>2018</v>
      </c>
      <c r="D5" s="1" t="s">
        <v>224</v>
      </c>
      <c r="E5" s="1" t="s">
        <v>244</v>
      </c>
      <c r="F5" s="1" t="s">
        <v>245</v>
      </c>
      <c r="G5" s="1" t="s">
        <v>246</v>
      </c>
      <c r="H5" s="1">
        <v>2018</v>
      </c>
      <c r="I5" s="1">
        <v>4</v>
      </c>
      <c r="K5" s="1">
        <f>I5*365</f>
        <v>1460</v>
      </c>
    </row>
    <row r="6" spans="1:13" x14ac:dyDescent="0.3">
      <c r="A6" t="s">
        <v>179</v>
      </c>
      <c r="B6" s="1" t="s">
        <v>180</v>
      </c>
      <c r="C6" s="1">
        <v>2018</v>
      </c>
      <c r="D6" s="1" t="s">
        <v>224</v>
      </c>
      <c r="E6" s="1" t="s">
        <v>339</v>
      </c>
      <c r="F6" s="1" t="s">
        <v>245</v>
      </c>
      <c r="G6" s="1" t="s">
        <v>246</v>
      </c>
      <c r="H6" s="1">
        <v>2018</v>
      </c>
      <c r="K6" s="20">
        <f>365562100/1000000</f>
        <v>365.56209999999999</v>
      </c>
      <c r="M6" s="1" t="s">
        <v>248</v>
      </c>
    </row>
    <row r="7" spans="1:13" x14ac:dyDescent="0.3">
      <c r="A7" t="s">
        <v>179</v>
      </c>
      <c r="B7" s="1" t="s">
        <v>180</v>
      </c>
      <c r="C7" s="1">
        <v>2018</v>
      </c>
      <c r="D7" s="1" t="s">
        <v>249</v>
      </c>
      <c r="E7" s="1" t="s">
        <v>390</v>
      </c>
      <c r="F7" s="1" t="s">
        <v>245</v>
      </c>
      <c r="G7" s="1" t="s">
        <v>246</v>
      </c>
      <c r="H7" s="1">
        <v>2018</v>
      </c>
      <c r="I7" s="1">
        <v>3.4</v>
      </c>
      <c r="J7" s="1">
        <v>7</v>
      </c>
    </row>
    <row r="8" spans="1:13" x14ac:dyDescent="0.3">
      <c r="A8" t="s">
        <v>179</v>
      </c>
      <c r="B8" s="1" t="s">
        <v>180</v>
      </c>
      <c r="C8" s="1">
        <v>2017</v>
      </c>
      <c r="D8" s="1" t="s">
        <v>224</v>
      </c>
      <c r="E8" s="1" t="s">
        <v>244</v>
      </c>
      <c r="F8" s="1" t="s">
        <v>245</v>
      </c>
      <c r="G8" s="1" t="s">
        <v>246</v>
      </c>
      <c r="H8" s="1">
        <v>2017</v>
      </c>
      <c r="I8" s="1">
        <v>4</v>
      </c>
      <c r="K8" s="1">
        <f>I8*365</f>
        <v>1460</v>
      </c>
    </row>
    <row r="9" spans="1:13" x14ac:dyDescent="0.3">
      <c r="A9" t="s">
        <v>179</v>
      </c>
      <c r="B9" s="1" t="s">
        <v>180</v>
      </c>
      <c r="C9" s="1">
        <v>2017</v>
      </c>
      <c r="D9" s="1" t="s">
        <v>224</v>
      </c>
      <c r="E9" s="1" t="s">
        <v>339</v>
      </c>
      <c r="F9" s="1" t="s">
        <v>245</v>
      </c>
      <c r="G9" s="1" t="s">
        <v>246</v>
      </c>
      <c r="H9" s="1">
        <v>2017</v>
      </c>
      <c r="K9" s="20">
        <f>381442885/1000000</f>
        <v>381.44288499999999</v>
      </c>
      <c r="M9" s="1" t="s">
        <v>349</v>
      </c>
    </row>
    <row r="10" spans="1:13" x14ac:dyDescent="0.3">
      <c r="A10" t="s">
        <v>179</v>
      </c>
      <c r="B10" s="1" t="s">
        <v>180</v>
      </c>
      <c r="C10" s="1">
        <v>2017</v>
      </c>
      <c r="D10" s="1" t="s">
        <v>249</v>
      </c>
      <c r="E10" s="1" t="s">
        <v>390</v>
      </c>
      <c r="F10" s="1" t="s">
        <v>245</v>
      </c>
      <c r="G10" s="1" t="s">
        <v>246</v>
      </c>
      <c r="H10" s="1">
        <v>2017</v>
      </c>
      <c r="I10" s="1">
        <v>3.4</v>
      </c>
      <c r="J10" s="1">
        <v>7</v>
      </c>
    </row>
    <row r="11" spans="1:13" x14ac:dyDescent="0.3">
      <c r="A11" t="s">
        <v>179</v>
      </c>
      <c r="B11" s="1" t="s">
        <v>180</v>
      </c>
      <c r="C11" s="1">
        <v>2003</v>
      </c>
      <c r="D11" s="1" t="s">
        <v>224</v>
      </c>
      <c r="E11" s="1" t="s">
        <v>244</v>
      </c>
      <c r="F11" s="1" t="s">
        <v>245</v>
      </c>
      <c r="G11" s="1" t="s">
        <v>246</v>
      </c>
      <c r="H11" s="1">
        <v>2003</v>
      </c>
      <c r="I11" s="1">
        <v>4</v>
      </c>
      <c r="K11" s="1">
        <f>I11*365</f>
        <v>1460</v>
      </c>
    </row>
    <row r="12" spans="1:13" x14ac:dyDescent="0.3">
      <c r="A12" t="s">
        <v>179</v>
      </c>
      <c r="B12" s="1" t="s">
        <v>180</v>
      </c>
      <c r="C12" s="1">
        <v>2003</v>
      </c>
      <c r="D12" s="1" t="s">
        <v>249</v>
      </c>
      <c r="E12" s="1" t="s">
        <v>390</v>
      </c>
      <c r="F12" s="1" t="s">
        <v>245</v>
      </c>
      <c r="G12" s="1" t="s">
        <v>246</v>
      </c>
      <c r="H12" s="1">
        <v>2003</v>
      </c>
      <c r="I12" s="1">
        <v>3.4</v>
      </c>
      <c r="M12" s="1" t="s">
        <v>248</v>
      </c>
    </row>
    <row r="13" spans="1:13" x14ac:dyDescent="0.3">
      <c r="C13" s="1">
        <v>1992</v>
      </c>
      <c r="D13" s="1" t="s">
        <v>224</v>
      </c>
      <c r="E13" s="1" t="s">
        <v>339</v>
      </c>
      <c r="F13" s="1" t="s">
        <v>245</v>
      </c>
      <c r="G13" s="1" t="s">
        <v>246</v>
      </c>
      <c r="H13" s="1">
        <v>1992</v>
      </c>
      <c r="I13" s="1">
        <v>3.3410000000000002</v>
      </c>
      <c r="J13" s="1">
        <v>3.9249999999999998</v>
      </c>
    </row>
    <row r="14" spans="1:13" x14ac:dyDescent="0.3">
      <c r="C14" s="1">
        <v>1992</v>
      </c>
      <c r="D14" s="1" t="s">
        <v>224</v>
      </c>
      <c r="E14" s="1" t="s">
        <v>390</v>
      </c>
      <c r="F14" s="1" t="s">
        <v>245</v>
      </c>
      <c r="G14" s="1" t="s">
        <v>246</v>
      </c>
      <c r="H14" s="1">
        <v>1992</v>
      </c>
      <c r="J14" s="1">
        <v>6</v>
      </c>
      <c r="L14" s="1">
        <v>0.5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5"/>
  <sheetViews>
    <sheetView workbookViewId="0">
      <selection activeCell="C21" sqref="C21"/>
    </sheetView>
  </sheetViews>
  <sheetFormatPr defaultRowHeight="14.4" x14ac:dyDescent="0.3"/>
  <cols>
    <col min="1" max="4" width="8.88671875" style="1"/>
    <col min="5" max="5" width="11.77734375" style="1" bestFit="1" customWidth="1"/>
    <col min="6" max="6" width="14.88671875" style="1" bestFit="1" customWidth="1"/>
    <col min="7" max="16384" width="8.886718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110</v>
      </c>
      <c r="E1" s="2" t="s">
        <v>140</v>
      </c>
      <c r="F1" s="2" t="s">
        <v>141</v>
      </c>
      <c r="G1" s="2" t="s">
        <v>142</v>
      </c>
      <c r="H1" s="2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>
        <v>2017</v>
      </c>
      <c r="E2" s="24">
        <f>1-360713440/1092508000</f>
        <v>0.66982993259545931</v>
      </c>
      <c r="G2" s="23" t="s">
        <v>253</v>
      </c>
      <c r="H2" s="1" t="s">
        <v>282</v>
      </c>
    </row>
    <row r="3" spans="1:8" x14ac:dyDescent="0.3">
      <c r="A3" t="s">
        <v>179</v>
      </c>
      <c r="B3" s="1" t="s">
        <v>180</v>
      </c>
      <c r="C3" s="1">
        <v>2019</v>
      </c>
      <c r="D3" s="1">
        <v>2016</v>
      </c>
      <c r="E3" s="24">
        <f>1-370000000/1095000000</f>
        <v>0.66210045662100458</v>
      </c>
      <c r="H3" s="1" t="s">
        <v>254</v>
      </c>
    </row>
    <row r="4" spans="1:8" x14ac:dyDescent="0.3">
      <c r="A4" t="s">
        <v>179</v>
      </c>
      <c r="B4" s="1" t="s">
        <v>180</v>
      </c>
      <c r="C4" s="1">
        <v>2019</v>
      </c>
      <c r="D4" s="1">
        <v>2015</v>
      </c>
      <c r="E4" s="24">
        <f>1-385000000/1085000000</f>
        <v>0.64516129032258063</v>
      </c>
      <c r="H4" s="1" t="s">
        <v>254</v>
      </c>
    </row>
    <row r="5" spans="1:8" x14ac:dyDescent="0.3">
      <c r="A5" t="s">
        <v>179</v>
      </c>
      <c r="B5" s="1" t="s">
        <v>180</v>
      </c>
      <c r="C5" s="1">
        <v>2019</v>
      </c>
      <c r="D5" s="1">
        <v>2014</v>
      </c>
      <c r="E5" s="24">
        <f>1-390000000/1010000000</f>
        <v>0.61386138613861385</v>
      </c>
      <c r="H5" s="1" t="s">
        <v>254</v>
      </c>
    </row>
    <row r="6" spans="1:8" x14ac:dyDescent="0.3">
      <c r="A6" t="s">
        <v>179</v>
      </c>
      <c r="B6" s="1" t="s">
        <v>180</v>
      </c>
      <c r="C6" s="1">
        <v>2019</v>
      </c>
      <c r="D6" s="1">
        <v>2013</v>
      </c>
      <c r="E6" s="24">
        <f>1-380000000/970000000</f>
        <v>0.60824742268041243</v>
      </c>
      <c r="H6" s="1" t="s">
        <v>254</v>
      </c>
    </row>
    <row r="7" spans="1:8" x14ac:dyDescent="0.3">
      <c r="A7" t="s">
        <v>179</v>
      </c>
      <c r="B7" s="1" t="s">
        <v>180</v>
      </c>
      <c r="C7" s="1">
        <v>2019</v>
      </c>
      <c r="D7" s="1">
        <v>2012</v>
      </c>
      <c r="E7" s="24">
        <f>1-385000000/985000000</f>
        <v>0.6091370558375635</v>
      </c>
      <c r="H7" s="1" t="s">
        <v>254</v>
      </c>
    </row>
    <row r="8" spans="1:8" x14ac:dyDescent="0.3">
      <c r="A8" t="s">
        <v>179</v>
      </c>
      <c r="B8" s="1" t="s">
        <v>180</v>
      </c>
      <c r="C8" s="1">
        <v>2019</v>
      </c>
      <c r="D8" s="1">
        <v>2011</v>
      </c>
      <c r="E8" s="24">
        <f>1-390000000/1010000000</f>
        <v>0.61386138613861385</v>
      </c>
      <c r="H8" s="1" t="s">
        <v>254</v>
      </c>
    </row>
    <row r="9" spans="1:8" x14ac:dyDescent="0.3">
      <c r="A9" t="s">
        <v>179</v>
      </c>
      <c r="B9" s="1" t="s">
        <v>180</v>
      </c>
      <c r="C9" s="1">
        <v>2019</v>
      </c>
      <c r="D9" s="1">
        <v>2010</v>
      </c>
      <c r="E9" s="24">
        <f>1-385000000/940000000</f>
        <v>0.59042553191489366</v>
      </c>
      <c r="H9" s="1" t="s">
        <v>254</v>
      </c>
    </row>
    <row r="10" spans="1:8" x14ac:dyDescent="0.3">
      <c r="A10" t="s">
        <v>179</v>
      </c>
      <c r="B10" s="1" t="s">
        <v>180</v>
      </c>
      <c r="C10" s="1">
        <v>2019</v>
      </c>
      <c r="D10" s="1">
        <v>2009</v>
      </c>
      <c r="E10" s="24">
        <f>1-395000000/880000000</f>
        <v>0.55113636363636365</v>
      </c>
      <c r="H10" s="1" t="s">
        <v>254</v>
      </c>
    </row>
    <row r="11" spans="1:8" x14ac:dyDescent="0.3">
      <c r="A11" t="s">
        <v>179</v>
      </c>
      <c r="B11" s="1" t="s">
        <v>180</v>
      </c>
      <c r="C11" s="1">
        <v>2019</v>
      </c>
      <c r="D11" s="1">
        <v>2008</v>
      </c>
      <c r="E11" s="24">
        <f>1-410000000/850000000</f>
        <v>0.51764705882352935</v>
      </c>
      <c r="H11" s="1" t="s">
        <v>254</v>
      </c>
    </row>
    <row r="12" spans="1:8" x14ac:dyDescent="0.3">
      <c r="A12" t="s">
        <v>179</v>
      </c>
      <c r="B12" s="1" t="s">
        <v>180</v>
      </c>
      <c r="C12" s="1">
        <v>2019</v>
      </c>
      <c r="D12" s="1">
        <v>2007</v>
      </c>
      <c r="E12" s="24">
        <f>1-420000000/840000000</f>
        <v>0.5</v>
      </c>
      <c r="H12" s="1" t="s">
        <v>254</v>
      </c>
    </row>
    <row r="13" spans="1:8" x14ac:dyDescent="0.3">
      <c r="A13" t="s">
        <v>179</v>
      </c>
      <c r="B13" s="1" t="s">
        <v>180</v>
      </c>
      <c r="C13" s="1">
        <v>2019</v>
      </c>
      <c r="D13" s="1">
        <v>2006</v>
      </c>
      <c r="E13" s="24">
        <f>1-470000000/840000000</f>
        <v>0.44047619047619047</v>
      </c>
      <c r="H13" s="1" t="s">
        <v>254</v>
      </c>
    </row>
    <row r="14" spans="1:8" x14ac:dyDescent="0.3">
      <c r="A14" t="s">
        <v>179</v>
      </c>
      <c r="B14" s="1" t="s">
        <v>180</v>
      </c>
      <c r="C14" s="1">
        <v>2019</v>
      </c>
      <c r="D14" s="1">
        <v>2005</v>
      </c>
      <c r="E14" s="24">
        <f>1-490000000/880000000</f>
        <v>0.44318181818181823</v>
      </c>
      <c r="H14" s="1" t="s">
        <v>254</v>
      </c>
    </row>
    <row r="15" spans="1:8" x14ac:dyDescent="0.3">
      <c r="A15" t="s">
        <v>179</v>
      </c>
      <c r="B15" s="1" t="s">
        <v>180</v>
      </c>
      <c r="C15" s="1">
        <v>2019</v>
      </c>
      <c r="D15" s="1">
        <v>2004</v>
      </c>
      <c r="E15" s="24">
        <f>1-500000000/835000000</f>
        <v>0.40119760479041922</v>
      </c>
      <c r="H15" s="1" t="s">
        <v>254</v>
      </c>
    </row>
    <row r="16" spans="1:8" x14ac:dyDescent="0.3">
      <c r="A16" t="s">
        <v>179</v>
      </c>
      <c r="B16" s="1" t="s">
        <v>180</v>
      </c>
      <c r="C16" s="1">
        <v>2019</v>
      </c>
      <c r="D16" s="1">
        <v>2003</v>
      </c>
      <c r="E16" s="24">
        <f>1-500000000/870000000</f>
        <v>0.42528735632183912</v>
      </c>
      <c r="H16" s="1" t="s">
        <v>254</v>
      </c>
    </row>
    <row r="17" spans="1:8" x14ac:dyDescent="0.3">
      <c r="A17" t="s">
        <v>179</v>
      </c>
      <c r="B17" s="1" t="s">
        <v>180</v>
      </c>
      <c r="C17" s="1">
        <v>2019</v>
      </c>
      <c r="D17" s="1">
        <v>2002</v>
      </c>
      <c r="E17" s="24">
        <f>1-530000000/830000000</f>
        <v>0.36144578313253017</v>
      </c>
      <c r="H17" s="1" t="s">
        <v>254</v>
      </c>
    </row>
    <row r="18" spans="1:8" x14ac:dyDescent="0.3">
      <c r="A18" t="s">
        <v>179</v>
      </c>
      <c r="B18" s="1" t="s">
        <v>180</v>
      </c>
      <c r="C18" s="1">
        <v>2019</v>
      </c>
      <c r="D18" s="1">
        <v>2001</v>
      </c>
      <c r="E18" s="24">
        <f>1-555000000/850000000</f>
        <v>0.34705882352941175</v>
      </c>
      <c r="H18" s="1" t="s">
        <v>254</v>
      </c>
    </row>
    <row r="19" spans="1:8" x14ac:dyDescent="0.3">
      <c r="A19" t="s">
        <v>179</v>
      </c>
      <c r="B19" s="1" t="s">
        <v>180</v>
      </c>
      <c r="C19" s="1">
        <v>2019</v>
      </c>
      <c r="D19" s="1">
        <v>2000</v>
      </c>
      <c r="E19" s="24">
        <f>1-580000000/810000000</f>
        <v>0.28395061728395066</v>
      </c>
      <c r="H19" s="1" t="s">
        <v>254</v>
      </c>
    </row>
    <row r="20" spans="1:8" x14ac:dyDescent="0.3">
      <c r="E20" s="24"/>
    </row>
    <row r="21" spans="1:8" x14ac:dyDescent="0.3">
      <c r="E21" s="24"/>
    </row>
    <row r="22" spans="1:8" x14ac:dyDescent="0.3">
      <c r="E22" s="24"/>
    </row>
    <row r="23" spans="1:8" x14ac:dyDescent="0.3">
      <c r="E23" s="24"/>
    </row>
    <row r="24" spans="1:8" x14ac:dyDescent="0.3">
      <c r="E24" s="24"/>
    </row>
    <row r="25" spans="1:8" x14ac:dyDescent="0.3">
      <c r="E25" s="24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M65"/>
  <sheetViews>
    <sheetView topLeftCell="A49" workbookViewId="0">
      <selection activeCell="A61" sqref="A61:D65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8.88671875" style="1"/>
    <col min="6" max="6" width="11.5546875" style="1" customWidth="1"/>
    <col min="7" max="7" width="5" style="1" bestFit="1" customWidth="1"/>
    <col min="8" max="8" width="8.21875" style="1" bestFit="1" customWidth="1"/>
    <col min="9" max="9" width="12.109375" style="1" bestFit="1" customWidth="1"/>
    <col min="10" max="10" width="14.33203125" style="1" bestFit="1" customWidth="1"/>
    <col min="11" max="11" width="10.109375" style="1" bestFit="1" customWidth="1"/>
    <col min="12" max="12" width="12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143</v>
      </c>
      <c r="F1" s="2" t="s">
        <v>109</v>
      </c>
      <c r="G1" s="2" t="s">
        <v>110</v>
      </c>
      <c r="H1" s="5" t="s">
        <v>144</v>
      </c>
      <c r="I1" s="4" t="s">
        <v>145</v>
      </c>
      <c r="J1" s="4" t="s">
        <v>31</v>
      </c>
      <c r="K1" s="2" t="s">
        <v>146</v>
      </c>
      <c r="L1" s="2" t="s">
        <v>147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224</v>
      </c>
      <c r="E2" s="1" t="s">
        <v>255</v>
      </c>
      <c r="F2" s="1" t="s">
        <v>268</v>
      </c>
      <c r="G2" s="1">
        <v>2017</v>
      </c>
      <c r="I2" s="25">
        <v>511611.96</v>
      </c>
      <c r="J2" s="23" t="s">
        <v>276</v>
      </c>
      <c r="L2" s="26">
        <f>I2/5999659</f>
        <v>8.5273506377612468E-2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224</v>
      </c>
      <c r="E3" s="1" t="s">
        <v>256</v>
      </c>
      <c r="F3" s="1" t="s">
        <v>265</v>
      </c>
      <c r="G3" s="1">
        <v>2017</v>
      </c>
      <c r="I3" s="25">
        <v>128946.72</v>
      </c>
      <c r="J3" s="23" t="s">
        <v>276</v>
      </c>
      <c r="L3" s="26">
        <f t="shared" ref="L3:L21" si="0">I3/5999659</f>
        <v>2.1492341481407527E-2</v>
      </c>
    </row>
    <row r="4" spans="1:13" x14ac:dyDescent="0.3">
      <c r="A4" t="s">
        <v>179</v>
      </c>
      <c r="B4" s="1" t="s">
        <v>180</v>
      </c>
      <c r="C4" s="1">
        <v>2019</v>
      </c>
      <c r="D4" s="1" t="s">
        <v>224</v>
      </c>
      <c r="E4" s="1" t="s">
        <v>257</v>
      </c>
      <c r="F4" s="1" t="s">
        <v>269</v>
      </c>
      <c r="G4" s="1">
        <v>2017</v>
      </c>
      <c r="I4" s="25">
        <v>112016.24</v>
      </c>
      <c r="J4" s="23" t="s">
        <v>276</v>
      </c>
      <c r="L4" s="26">
        <f t="shared" si="0"/>
        <v>1.8670434436357134E-2</v>
      </c>
    </row>
    <row r="5" spans="1:13" x14ac:dyDescent="0.3">
      <c r="A5" t="s">
        <v>179</v>
      </c>
      <c r="B5" s="1" t="s">
        <v>180</v>
      </c>
      <c r="C5" s="1">
        <v>2019</v>
      </c>
      <c r="D5" s="1" t="s">
        <v>224</v>
      </c>
      <c r="E5" s="1" t="s">
        <v>258</v>
      </c>
      <c r="F5" s="1" t="s">
        <v>270</v>
      </c>
      <c r="G5" s="1">
        <v>2017</v>
      </c>
      <c r="I5" s="25">
        <v>84724.68</v>
      </c>
      <c r="J5" s="23" t="s">
        <v>276</v>
      </c>
      <c r="L5" s="26">
        <f t="shared" si="0"/>
        <v>1.4121582576609769E-2</v>
      </c>
    </row>
    <row r="6" spans="1:13" x14ac:dyDescent="0.3">
      <c r="A6" t="s">
        <v>179</v>
      </c>
      <c r="B6" s="1" t="s">
        <v>180</v>
      </c>
      <c r="C6" s="1">
        <v>2019</v>
      </c>
      <c r="D6" s="1" t="s">
        <v>224</v>
      </c>
      <c r="E6" s="1" t="s">
        <v>259</v>
      </c>
      <c r="F6" s="1" t="s">
        <v>271</v>
      </c>
      <c r="G6" s="1">
        <v>2017</v>
      </c>
      <c r="I6" s="25">
        <v>53328.56</v>
      </c>
      <c r="J6" s="23" t="s">
        <v>276</v>
      </c>
      <c r="L6" s="26">
        <f t="shared" si="0"/>
        <v>8.8885985020148647E-3</v>
      </c>
    </row>
    <row r="7" spans="1:13" x14ac:dyDescent="0.3">
      <c r="A7" t="s">
        <v>179</v>
      </c>
      <c r="B7" s="1" t="s">
        <v>180</v>
      </c>
      <c r="C7" s="1">
        <v>2019</v>
      </c>
      <c r="D7" s="1" t="s">
        <v>224</v>
      </c>
      <c r="E7" s="1" t="s">
        <v>260</v>
      </c>
      <c r="F7" s="1" t="s">
        <v>272</v>
      </c>
      <c r="G7" s="1">
        <v>2017</v>
      </c>
      <c r="I7" s="25">
        <v>45306.400000000001</v>
      </c>
      <c r="J7" s="23" t="s">
        <v>276</v>
      </c>
      <c r="L7" s="26">
        <f t="shared" si="0"/>
        <v>7.5514958433470971E-3</v>
      </c>
    </row>
    <row r="8" spans="1:13" x14ac:dyDescent="0.3">
      <c r="A8" t="s">
        <v>179</v>
      </c>
      <c r="B8" s="1" t="s">
        <v>180</v>
      </c>
      <c r="C8" s="1">
        <v>2019</v>
      </c>
      <c r="D8" s="1" t="s">
        <v>224</v>
      </c>
      <c r="E8" s="1" t="s">
        <v>261</v>
      </c>
      <c r="F8" s="1" t="s">
        <v>273</v>
      </c>
      <c r="G8" s="1">
        <v>2017</v>
      </c>
      <c r="I8" s="25">
        <v>32136.9</v>
      </c>
      <c r="J8" s="23" t="s">
        <v>276</v>
      </c>
      <c r="L8" s="26">
        <f t="shared" si="0"/>
        <v>5.3564544251598302E-3</v>
      </c>
    </row>
    <row r="9" spans="1:13" x14ac:dyDescent="0.3">
      <c r="A9" t="s">
        <v>179</v>
      </c>
      <c r="B9" s="1" t="s">
        <v>180</v>
      </c>
      <c r="C9" s="1">
        <v>2019</v>
      </c>
      <c r="D9" s="1" t="s">
        <v>224</v>
      </c>
      <c r="E9" s="1" t="s">
        <v>262</v>
      </c>
      <c r="F9" s="1" t="s">
        <v>268</v>
      </c>
      <c r="G9" s="1">
        <v>2017</v>
      </c>
      <c r="I9" s="25">
        <v>27695.599999999999</v>
      </c>
      <c r="J9" s="23" t="s">
        <v>276</v>
      </c>
      <c r="L9" s="26">
        <f t="shared" si="0"/>
        <v>4.6161956871215515E-3</v>
      </c>
    </row>
    <row r="10" spans="1:13" x14ac:dyDescent="0.3">
      <c r="A10" t="s">
        <v>179</v>
      </c>
      <c r="B10" s="1" t="s">
        <v>180</v>
      </c>
      <c r="C10" s="1">
        <v>2019</v>
      </c>
      <c r="D10" s="1" t="s">
        <v>224</v>
      </c>
      <c r="E10" s="1" t="s">
        <v>260</v>
      </c>
      <c r="F10" s="1" t="s">
        <v>272</v>
      </c>
      <c r="G10" s="1">
        <v>2017</v>
      </c>
      <c r="I10" s="25">
        <v>22475.73</v>
      </c>
      <c r="J10" s="23" t="s">
        <v>276</v>
      </c>
      <c r="L10" s="26">
        <f t="shared" si="0"/>
        <v>3.746167907209393E-3</v>
      </c>
    </row>
    <row r="11" spans="1:13" x14ac:dyDescent="0.3">
      <c r="A11" t="s">
        <v>179</v>
      </c>
      <c r="B11" s="1" t="s">
        <v>180</v>
      </c>
      <c r="C11" s="1">
        <v>2019</v>
      </c>
      <c r="D11" s="1" t="s">
        <v>224</v>
      </c>
      <c r="E11" s="1" t="s">
        <v>263</v>
      </c>
      <c r="F11" s="1" t="s">
        <v>272</v>
      </c>
      <c r="G11" s="1">
        <v>2017</v>
      </c>
      <c r="I11" s="25">
        <v>16938.560000000001</v>
      </c>
      <c r="J11" s="23" t="s">
        <v>276</v>
      </c>
      <c r="L11" s="26">
        <f t="shared" si="0"/>
        <v>2.8232537882569662E-3</v>
      </c>
    </row>
    <row r="12" spans="1:13" x14ac:dyDescent="0.3">
      <c r="A12" t="s">
        <v>179</v>
      </c>
      <c r="B12" s="1" t="s">
        <v>180</v>
      </c>
      <c r="C12" s="1">
        <v>2019</v>
      </c>
      <c r="D12" s="1" t="s">
        <v>249</v>
      </c>
      <c r="E12" s="1" t="s">
        <v>264</v>
      </c>
      <c r="F12" s="1" t="s">
        <v>274</v>
      </c>
      <c r="G12" s="1">
        <v>2017</v>
      </c>
      <c r="I12" s="25">
        <v>432966.1</v>
      </c>
      <c r="J12" s="23" t="s">
        <v>276</v>
      </c>
      <c r="L12" s="26">
        <f t="shared" si="0"/>
        <v>7.2165118050875887E-2</v>
      </c>
    </row>
    <row r="13" spans="1:13" x14ac:dyDescent="0.3">
      <c r="A13" t="s">
        <v>179</v>
      </c>
      <c r="B13" s="1" t="s">
        <v>180</v>
      </c>
      <c r="C13" s="1">
        <v>2019</v>
      </c>
      <c r="D13" s="1" t="s">
        <v>249</v>
      </c>
      <c r="E13" s="1" t="s">
        <v>265</v>
      </c>
      <c r="F13" s="1" t="s">
        <v>265</v>
      </c>
      <c r="G13" s="1">
        <v>2017</v>
      </c>
      <c r="I13" s="25">
        <v>53442.62</v>
      </c>
      <c r="J13" s="23" t="s">
        <v>276</v>
      </c>
      <c r="L13" s="26">
        <f t="shared" si="0"/>
        <v>8.9076095824779378E-3</v>
      </c>
    </row>
    <row r="14" spans="1:13" x14ac:dyDescent="0.3">
      <c r="A14" t="s">
        <v>179</v>
      </c>
      <c r="B14" s="1" t="s">
        <v>180</v>
      </c>
      <c r="C14" s="1">
        <v>2019</v>
      </c>
      <c r="D14" s="1" t="s">
        <v>249</v>
      </c>
      <c r="E14" s="1" t="s">
        <v>256</v>
      </c>
      <c r="F14" s="1" t="s">
        <v>265</v>
      </c>
      <c r="G14" s="1">
        <v>2017</v>
      </c>
      <c r="I14" s="25">
        <v>48122.02</v>
      </c>
      <c r="J14" s="23" t="s">
        <v>276</v>
      </c>
      <c r="L14" s="26">
        <f t="shared" si="0"/>
        <v>8.0207925150412706E-3</v>
      </c>
    </row>
    <row r="15" spans="1:13" x14ac:dyDescent="0.3">
      <c r="A15" t="s">
        <v>179</v>
      </c>
      <c r="B15" s="1" t="s">
        <v>180</v>
      </c>
      <c r="C15" s="1">
        <v>2019</v>
      </c>
      <c r="D15" s="1" t="s">
        <v>249</v>
      </c>
      <c r="E15" s="1" t="s">
        <v>257</v>
      </c>
      <c r="F15" s="1" t="s">
        <v>269</v>
      </c>
      <c r="G15" s="1">
        <v>2017</v>
      </c>
      <c r="I15" s="25">
        <v>38225.449999999997</v>
      </c>
      <c r="J15" s="23" t="s">
        <v>276</v>
      </c>
      <c r="L15" s="26">
        <f t="shared" si="0"/>
        <v>6.3712704338696581E-3</v>
      </c>
    </row>
    <row r="16" spans="1:13" x14ac:dyDescent="0.3">
      <c r="A16" t="s">
        <v>179</v>
      </c>
      <c r="B16" s="1" t="s">
        <v>180</v>
      </c>
      <c r="C16" s="1">
        <v>2019</v>
      </c>
      <c r="D16" s="1" t="s">
        <v>249</v>
      </c>
      <c r="E16" s="1" t="s">
        <v>258</v>
      </c>
      <c r="F16" s="1" t="s">
        <v>270</v>
      </c>
      <c r="G16" s="1">
        <v>2017</v>
      </c>
      <c r="I16" s="25">
        <v>11660.76</v>
      </c>
      <c r="J16" s="23" t="s">
        <v>276</v>
      </c>
      <c r="L16" s="26">
        <f t="shared" si="0"/>
        <v>1.9435704595877866E-3</v>
      </c>
    </row>
    <row r="17" spans="1:12" x14ac:dyDescent="0.3">
      <c r="A17" t="s">
        <v>179</v>
      </c>
      <c r="B17" s="1" t="s">
        <v>180</v>
      </c>
      <c r="C17" s="1">
        <v>2019</v>
      </c>
      <c r="D17" s="1" t="s">
        <v>249</v>
      </c>
      <c r="E17" s="1" t="s">
        <v>260</v>
      </c>
      <c r="F17" s="1" t="s">
        <v>272</v>
      </c>
      <c r="G17" s="1">
        <v>2017</v>
      </c>
      <c r="I17" s="25">
        <v>11598.26</v>
      </c>
      <c r="J17" s="23" t="s">
        <v>276</v>
      </c>
      <c r="L17" s="26">
        <f t="shared" si="0"/>
        <v>1.9331532008735829E-3</v>
      </c>
    </row>
    <row r="18" spans="1:12" x14ac:dyDescent="0.3">
      <c r="A18" t="s">
        <v>179</v>
      </c>
      <c r="B18" s="1" t="s">
        <v>180</v>
      </c>
      <c r="C18" s="1">
        <v>2019</v>
      </c>
      <c r="D18" s="1" t="s">
        <v>249</v>
      </c>
      <c r="E18" s="1" t="s">
        <v>263</v>
      </c>
      <c r="F18" s="1" t="s">
        <v>272</v>
      </c>
      <c r="G18" s="1">
        <v>2017</v>
      </c>
      <c r="I18" s="25">
        <v>8381.5400000000009</v>
      </c>
      <c r="J18" s="23" t="s">
        <v>276</v>
      </c>
      <c r="L18" s="26">
        <f t="shared" si="0"/>
        <v>1.3970027296551356E-3</v>
      </c>
    </row>
    <row r="19" spans="1:12" x14ac:dyDescent="0.3">
      <c r="A19" t="s">
        <v>179</v>
      </c>
      <c r="B19" s="1" t="s">
        <v>180</v>
      </c>
      <c r="C19" s="1">
        <v>2019</v>
      </c>
      <c r="D19" s="1" t="s">
        <v>249</v>
      </c>
      <c r="E19" s="1" t="s">
        <v>259</v>
      </c>
      <c r="F19" s="1" t="s">
        <v>271</v>
      </c>
      <c r="G19" s="1">
        <v>2017</v>
      </c>
      <c r="I19" s="25">
        <v>7415.91</v>
      </c>
      <c r="J19" s="23" t="s">
        <v>276</v>
      </c>
      <c r="L19" s="26">
        <f t="shared" si="0"/>
        <v>1.2360552491399927E-3</v>
      </c>
    </row>
    <row r="20" spans="1:12" x14ac:dyDescent="0.3">
      <c r="A20" t="s">
        <v>179</v>
      </c>
      <c r="B20" s="1" t="s">
        <v>180</v>
      </c>
      <c r="C20" s="1">
        <v>2019</v>
      </c>
      <c r="D20" s="1" t="s">
        <v>249</v>
      </c>
      <c r="E20" s="1" t="s">
        <v>266</v>
      </c>
      <c r="F20" s="1" t="s">
        <v>275</v>
      </c>
      <c r="G20" s="1">
        <v>2017</v>
      </c>
      <c r="I20" s="25">
        <v>6377.24</v>
      </c>
      <c r="J20" s="23" t="s">
        <v>276</v>
      </c>
      <c r="L20" s="26">
        <f t="shared" si="0"/>
        <v>1.0629337434010832E-3</v>
      </c>
    </row>
    <row r="21" spans="1:12" x14ac:dyDescent="0.3">
      <c r="A21" t="s">
        <v>179</v>
      </c>
      <c r="B21" s="1" t="s">
        <v>180</v>
      </c>
      <c r="C21" s="1">
        <v>2019</v>
      </c>
      <c r="D21" s="1" t="s">
        <v>249</v>
      </c>
      <c r="E21" s="1" t="s">
        <v>267</v>
      </c>
      <c r="F21" s="1" t="s">
        <v>268</v>
      </c>
      <c r="G21" s="1">
        <v>2017</v>
      </c>
      <c r="I21" s="25">
        <v>5324</v>
      </c>
      <c r="J21" s="23" t="s">
        <v>276</v>
      </c>
      <c r="L21" s="26">
        <f t="shared" si="0"/>
        <v>8.8738376631071871E-4</v>
      </c>
    </row>
    <row r="22" spans="1:12" x14ac:dyDescent="0.3">
      <c r="A22" t="s">
        <v>179</v>
      </c>
      <c r="B22" s="1" t="s">
        <v>180</v>
      </c>
      <c r="C22" s="1">
        <v>2017</v>
      </c>
      <c r="D22" s="1" t="s">
        <v>224</v>
      </c>
      <c r="E22" s="1" t="s">
        <v>255</v>
      </c>
      <c r="F22" s="1" t="s">
        <v>268</v>
      </c>
      <c r="G22" s="1">
        <v>2016</v>
      </c>
      <c r="I22" s="25">
        <v>481215.86</v>
      </c>
      <c r="J22" s="23" t="s">
        <v>276</v>
      </c>
      <c r="L22" s="26">
        <f>I22/6272300</f>
        <v>7.6720797793472892E-2</v>
      </c>
    </row>
    <row r="23" spans="1:12" x14ac:dyDescent="0.3">
      <c r="A23" t="s">
        <v>179</v>
      </c>
      <c r="B23" s="1" t="s">
        <v>180</v>
      </c>
      <c r="C23" s="1">
        <v>2017</v>
      </c>
      <c r="D23" s="1" t="s">
        <v>224</v>
      </c>
      <c r="E23" s="1" t="s">
        <v>350</v>
      </c>
      <c r="F23" s="1" t="s">
        <v>265</v>
      </c>
      <c r="G23" s="1">
        <v>2016</v>
      </c>
      <c r="I23" s="25">
        <v>121966.24</v>
      </c>
      <c r="J23" s="23" t="s">
        <v>276</v>
      </c>
      <c r="L23" s="26">
        <f t="shared" ref="L23:L41" si="1">I23/6272300</f>
        <v>1.9445217862666009E-2</v>
      </c>
    </row>
    <row r="24" spans="1:12" x14ac:dyDescent="0.3">
      <c r="A24" t="s">
        <v>179</v>
      </c>
      <c r="B24" s="1" t="s">
        <v>180</v>
      </c>
      <c r="C24" s="1">
        <v>2017</v>
      </c>
      <c r="D24" s="1" t="s">
        <v>224</v>
      </c>
      <c r="E24" s="1" t="s">
        <v>265</v>
      </c>
      <c r="F24" s="1" t="s">
        <v>265</v>
      </c>
      <c r="G24" s="1">
        <v>2016</v>
      </c>
      <c r="I24" s="25">
        <v>115605.48</v>
      </c>
      <c r="J24" s="23" t="s">
        <v>276</v>
      </c>
      <c r="L24" s="26">
        <f t="shared" si="1"/>
        <v>1.8431114583167259E-2</v>
      </c>
    </row>
    <row r="25" spans="1:12" x14ac:dyDescent="0.3">
      <c r="A25" t="s">
        <v>179</v>
      </c>
      <c r="B25" s="1" t="s">
        <v>180</v>
      </c>
      <c r="C25" s="1">
        <v>2017</v>
      </c>
      <c r="D25" s="1" t="s">
        <v>224</v>
      </c>
      <c r="E25" s="1" t="s">
        <v>257</v>
      </c>
      <c r="F25" s="1" t="s">
        <v>269</v>
      </c>
      <c r="G25" s="1">
        <v>2016</v>
      </c>
      <c r="I25" s="25">
        <v>90261.23</v>
      </c>
      <c r="J25" s="23" t="s">
        <v>276</v>
      </c>
      <c r="L25" s="26">
        <f t="shared" si="1"/>
        <v>1.439045166844698E-2</v>
      </c>
    </row>
    <row r="26" spans="1:12" x14ac:dyDescent="0.3">
      <c r="A26" t="s">
        <v>179</v>
      </c>
      <c r="B26" s="1" t="s">
        <v>180</v>
      </c>
      <c r="C26" s="1">
        <v>2017</v>
      </c>
      <c r="D26" s="1" t="s">
        <v>224</v>
      </c>
      <c r="E26" s="1" t="s">
        <v>258</v>
      </c>
      <c r="F26" s="1" t="s">
        <v>270</v>
      </c>
      <c r="G26" s="1">
        <v>2016</v>
      </c>
      <c r="I26" s="25">
        <v>56313.08</v>
      </c>
      <c r="J26" s="23" t="s">
        <v>276</v>
      </c>
      <c r="L26" s="26">
        <f t="shared" si="1"/>
        <v>8.978059085184063E-3</v>
      </c>
    </row>
    <row r="27" spans="1:12" x14ac:dyDescent="0.3">
      <c r="A27" t="s">
        <v>179</v>
      </c>
      <c r="B27" s="1" t="s">
        <v>180</v>
      </c>
      <c r="C27" s="1">
        <v>2017</v>
      </c>
      <c r="D27" s="1" t="s">
        <v>224</v>
      </c>
      <c r="E27" s="1" t="s">
        <v>259</v>
      </c>
      <c r="F27" s="1" t="s">
        <v>271</v>
      </c>
      <c r="G27" s="1">
        <v>2016</v>
      </c>
      <c r="I27" s="25">
        <v>40261.230000000003</v>
      </c>
      <c r="J27" s="23" t="s">
        <v>276</v>
      </c>
      <c r="L27" s="26">
        <f t="shared" si="1"/>
        <v>6.4188941855459723E-3</v>
      </c>
    </row>
    <row r="28" spans="1:12" x14ac:dyDescent="0.3">
      <c r="A28" t="s">
        <v>179</v>
      </c>
      <c r="B28" s="1" t="s">
        <v>180</v>
      </c>
      <c r="C28" s="1">
        <v>2017</v>
      </c>
      <c r="D28" s="1" t="s">
        <v>224</v>
      </c>
      <c r="E28" s="1" t="s">
        <v>262</v>
      </c>
      <c r="F28" s="1" t="s">
        <v>268</v>
      </c>
      <c r="G28" s="1">
        <v>2016</v>
      </c>
      <c r="I28" s="25">
        <v>26452.77</v>
      </c>
      <c r="J28" s="23" t="s">
        <v>276</v>
      </c>
      <c r="L28" s="26">
        <f t="shared" si="1"/>
        <v>4.2173955327391866E-3</v>
      </c>
    </row>
    <row r="29" spans="1:12" x14ac:dyDescent="0.3">
      <c r="A29" t="s">
        <v>179</v>
      </c>
      <c r="B29" s="1" t="s">
        <v>180</v>
      </c>
      <c r="C29" s="1">
        <v>2017</v>
      </c>
      <c r="D29" s="1" t="s">
        <v>224</v>
      </c>
      <c r="E29" s="1" t="s">
        <v>260</v>
      </c>
      <c r="F29" s="1" t="s">
        <v>272</v>
      </c>
      <c r="G29" s="1">
        <v>2016</v>
      </c>
      <c r="I29" s="25">
        <v>24433.919999999998</v>
      </c>
      <c r="J29" s="23" t="s">
        <v>276</v>
      </c>
      <c r="L29" s="26">
        <f t="shared" si="1"/>
        <v>3.8955279562520925E-3</v>
      </c>
    </row>
    <row r="30" spans="1:12" x14ac:dyDescent="0.3">
      <c r="A30" t="s">
        <v>179</v>
      </c>
      <c r="B30" s="1" t="s">
        <v>180</v>
      </c>
      <c r="C30" s="1">
        <v>2017</v>
      </c>
      <c r="D30" s="1" t="s">
        <v>224</v>
      </c>
      <c r="E30" s="1" t="s">
        <v>263</v>
      </c>
      <c r="F30" s="1" t="s">
        <v>272</v>
      </c>
      <c r="G30" s="1">
        <v>2016</v>
      </c>
      <c r="I30" s="25">
        <v>20753.28</v>
      </c>
      <c r="J30" s="23" t="s">
        <v>276</v>
      </c>
      <c r="L30" s="26">
        <f t="shared" si="1"/>
        <v>3.3087192895747968E-3</v>
      </c>
    </row>
    <row r="31" spans="1:12" x14ac:dyDescent="0.3">
      <c r="A31" t="s">
        <v>179</v>
      </c>
      <c r="B31" s="1" t="s">
        <v>180</v>
      </c>
      <c r="C31" s="1">
        <v>2017</v>
      </c>
      <c r="D31" s="1" t="s">
        <v>224</v>
      </c>
      <c r="E31" s="1" t="s">
        <v>267</v>
      </c>
      <c r="F31" s="1" t="s">
        <v>268</v>
      </c>
      <c r="G31" s="1">
        <v>2016</v>
      </c>
      <c r="I31" s="25">
        <v>18230.439999999999</v>
      </c>
      <c r="J31" s="23" t="s">
        <v>276</v>
      </c>
      <c r="L31" s="26">
        <f t="shared" si="1"/>
        <v>2.9065000079715572E-3</v>
      </c>
    </row>
    <row r="32" spans="1:12" x14ac:dyDescent="0.3">
      <c r="A32" t="s">
        <v>179</v>
      </c>
      <c r="B32" s="1" t="s">
        <v>180</v>
      </c>
      <c r="C32" s="1">
        <v>2017</v>
      </c>
      <c r="D32" s="1" t="s">
        <v>249</v>
      </c>
      <c r="E32" s="1" t="s">
        <v>264</v>
      </c>
      <c r="F32" s="1" t="s">
        <v>274</v>
      </c>
      <c r="G32" s="1">
        <v>2016</v>
      </c>
      <c r="I32" s="25">
        <v>469038.36</v>
      </c>
      <c r="J32" s="23" t="s">
        <v>276</v>
      </c>
      <c r="L32" s="26">
        <f t="shared" si="1"/>
        <v>7.4779324968512348E-2</v>
      </c>
    </row>
    <row r="33" spans="1:12" x14ac:dyDescent="0.3">
      <c r="A33" t="s">
        <v>179</v>
      </c>
      <c r="B33" s="1" t="s">
        <v>180</v>
      </c>
      <c r="C33" s="1">
        <v>2017</v>
      </c>
      <c r="D33" s="1" t="s">
        <v>249</v>
      </c>
      <c r="E33" s="1" t="s">
        <v>350</v>
      </c>
      <c r="F33" s="1" t="s">
        <v>265</v>
      </c>
      <c r="G33" s="1">
        <v>2016</v>
      </c>
      <c r="I33" s="25">
        <v>70107.02</v>
      </c>
      <c r="J33" s="23" t="s">
        <v>276</v>
      </c>
      <c r="L33" s="26">
        <f t="shared" si="1"/>
        <v>1.1177242797697814E-2</v>
      </c>
    </row>
    <row r="34" spans="1:12" x14ac:dyDescent="0.3">
      <c r="A34" t="s">
        <v>179</v>
      </c>
      <c r="B34" s="1" t="s">
        <v>180</v>
      </c>
      <c r="C34" s="1">
        <v>2017</v>
      </c>
      <c r="D34" s="1" t="s">
        <v>249</v>
      </c>
      <c r="E34" s="1" t="s">
        <v>265</v>
      </c>
      <c r="F34" s="1" t="s">
        <v>265</v>
      </c>
      <c r="G34" s="1">
        <v>2016</v>
      </c>
      <c r="I34" s="25">
        <v>69901.84</v>
      </c>
      <c r="J34" s="23" t="s">
        <v>276</v>
      </c>
      <c r="L34" s="26">
        <f t="shared" si="1"/>
        <v>1.1144530714410981E-2</v>
      </c>
    </row>
    <row r="35" spans="1:12" x14ac:dyDescent="0.3">
      <c r="A35" t="s">
        <v>179</v>
      </c>
      <c r="B35" s="1" t="s">
        <v>180</v>
      </c>
      <c r="C35" s="1">
        <v>2017</v>
      </c>
      <c r="D35" s="1" t="s">
        <v>249</v>
      </c>
      <c r="E35" s="1" t="s">
        <v>257</v>
      </c>
      <c r="F35" s="1" t="s">
        <v>269</v>
      </c>
      <c r="G35" s="1">
        <v>2016</v>
      </c>
      <c r="I35" s="25">
        <v>59470.28</v>
      </c>
      <c r="J35" s="23" t="s">
        <v>276</v>
      </c>
      <c r="L35" s="26">
        <f t="shared" si="1"/>
        <v>9.4814151108843642E-3</v>
      </c>
    </row>
    <row r="36" spans="1:12" x14ac:dyDescent="0.3">
      <c r="A36" t="s">
        <v>179</v>
      </c>
      <c r="B36" s="1" t="s">
        <v>180</v>
      </c>
      <c r="C36" s="1">
        <v>2017</v>
      </c>
      <c r="D36" s="1" t="s">
        <v>249</v>
      </c>
      <c r="E36" s="1" t="s">
        <v>258</v>
      </c>
      <c r="F36" s="1" t="s">
        <v>270</v>
      </c>
      <c r="G36" s="1">
        <v>2016</v>
      </c>
      <c r="I36" s="25">
        <v>32256.16</v>
      </c>
      <c r="J36" s="23" t="s">
        <v>276</v>
      </c>
      <c r="L36" s="26">
        <f t="shared" si="1"/>
        <v>5.1426366723530447E-3</v>
      </c>
    </row>
    <row r="37" spans="1:12" x14ac:dyDescent="0.3">
      <c r="A37" t="s">
        <v>179</v>
      </c>
      <c r="B37" s="1" t="s">
        <v>180</v>
      </c>
      <c r="C37" s="1">
        <v>2017</v>
      </c>
      <c r="D37" s="1" t="s">
        <v>249</v>
      </c>
      <c r="E37" s="1" t="s">
        <v>267</v>
      </c>
      <c r="F37" s="1" t="s">
        <v>268</v>
      </c>
      <c r="G37" s="1">
        <v>2016</v>
      </c>
      <c r="I37" s="25">
        <v>16285.24</v>
      </c>
      <c r="J37" s="23" t="s">
        <v>276</v>
      </c>
      <c r="L37" s="26">
        <f t="shared" si="1"/>
        <v>2.5963745356567766E-3</v>
      </c>
    </row>
    <row r="38" spans="1:12" x14ac:dyDescent="0.3">
      <c r="A38" t="s">
        <v>179</v>
      </c>
      <c r="B38" s="1" t="s">
        <v>180</v>
      </c>
      <c r="C38" s="1">
        <v>2017</v>
      </c>
      <c r="D38" s="1" t="s">
        <v>249</v>
      </c>
      <c r="E38" s="1" t="s">
        <v>260</v>
      </c>
      <c r="F38" s="1" t="s">
        <v>272</v>
      </c>
      <c r="G38" s="1">
        <v>2016</v>
      </c>
      <c r="I38" s="25">
        <v>14893.04</v>
      </c>
      <c r="J38" s="23" t="s">
        <v>276</v>
      </c>
      <c r="L38" s="26">
        <f t="shared" si="1"/>
        <v>2.3744144891028811E-3</v>
      </c>
    </row>
    <row r="39" spans="1:12" x14ac:dyDescent="0.3">
      <c r="A39" t="s">
        <v>179</v>
      </c>
      <c r="B39" s="1" t="s">
        <v>180</v>
      </c>
      <c r="C39" s="1">
        <v>2017</v>
      </c>
      <c r="D39" s="1" t="s">
        <v>249</v>
      </c>
      <c r="E39" s="1" t="s">
        <v>263</v>
      </c>
      <c r="F39" s="1" t="s">
        <v>272</v>
      </c>
      <c r="G39" s="1">
        <v>2016</v>
      </c>
      <c r="I39" s="25">
        <v>13343.3</v>
      </c>
      <c r="J39" s="23" t="s">
        <v>276</v>
      </c>
      <c r="L39" s="26">
        <f t="shared" si="1"/>
        <v>2.1273376592318605E-3</v>
      </c>
    </row>
    <row r="40" spans="1:12" x14ac:dyDescent="0.3">
      <c r="A40" t="s">
        <v>179</v>
      </c>
      <c r="B40" s="1" t="s">
        <v>180</v>
      </c>
      <c r="C40" s="1">
        <v>2017</v>
      </c>
      <c r="D40" s="1" t="s">
        <v>249</v>
      </c>
      <c r="E40" s="1" t="s">
        <v>259</v>
      </c>
      <c r="F40" s="1" t="s">
        <v>271</v>
      </c>
      <c r="G40" s="1">
        <v>2016</v>
      </c>
      <c r="I40" s="25">
        <v>6295.86</v>
      </c>
      <c r="J40" s="23" t="s">
        <v>276</v>
      </c>
      <c r="L40" s="26">
        <f t="shared" si="1"/>
        <v>1.0037561978859428E-3</v>
      </c>
    </row>
    <row r="41" spans="1:12" x14ac:dyDescent="0.3">
      <c r="A41" t="s">
        <v>179</v>
      </c>
      <c r="B41" s="1" t="s">
        <v>180</v>
      </c>
      <c r="C41" s="1">
        <v>2017</v>
      </c>
      <c r="D41" s="1" t="s">
        <v>249</v>
      </c>
      <c r="E41" s="1" t="s">
        <v>266</v>
      </c>
      <c r="F41" s="1" t="s">
        <v>275</v>
      </c>
      <c r="G41" s="1">
        <v>2016</v>
      </c>
      <c r="I41" s="25">
        <v>4153.34</v>
      </c>
      <c r="J41" s="23" t="s">
        <v>276</v>
      </c>
      <c r="L41" s="26">
        <f t="shared" si="1"/>
        <v>6.6217177112064154E-4</v>
      </c>
    </row>
    <row r="42" spans="1:12" x14ac:dyDescent="0.3">
      <c r="A42" t="s">
        <v>179</v>
      </c>
      <c r="B42" s="1" t="s">
        <v>180</v>
      </c>
      <c r="C42" s="1">
        <v>2003</v>
      </c>
      <c r="D42" s="1" t="s">
        <v>224</v>
      </c>
      <c r="E42" s="1" t="s">
        <v>391</v>
      </c>
      <c r="F42" s="1" t="s">
        <v>268</v>
      </c>
      <c r="G42" s="1">
        <v>2002</v>
      </c>
      <c r="I42" s="25">
        <v>276378.93</v>
      </c>
      <c r="J42" s="23" t="s">
        <v>276</v>
      </c>
      <c r="L42" s="30">
        <f>I42/3905342</f>
        <v>7.0769456298577685E-2</v>
      </c>
    </row>
    <row r="43" spans="1:12" x14ac:dyDescent="0.3">
      <c r="A43" t="s">
        <v>179</v>
      </c>
      <c r="B43" s="1" t="s">
        <v>180</v>
      </c>
      <c r="C43" s="1">
        <v>2003</v>
      </c>
      <c r="D43" s="1" t="s">
        <v>224</v>
      </c>
      <c r="E43" s="1" t="s">
        <v>392</v>
      </c>
      <c r="F43" s="1" t="s">
        <v>265</v>
      </c>
      <c r="G43" s="1">
        <v>2002</v>
      </c>
      <c r="I43" s="25">
        <v>72782.98</v>
      </c>
      <c r="J43" s="23" t="s">
        <v>276</v>
      </c>
      <c r="L43" s="30">
        <f t="shared" ref="L43:L60" si="2">I43/3905342</f>
        <v>1.8636774961066149E-2</v>
      </c>
    </row>
    <row r="44" spans="1:12" x14ac:dyDescent="0.3">
      <c r="A44" t="s">
        <v>179</v>
      </c>
      <c r="B44" s="1" t="s">
        <v>180</v>
      </c>
      <c r="C44" s="1">
        <v>2003</v>
      </c>
      <c r="D44" s="1" t="s">
        <v>224</v>
      </c>
      <c r="E44" s="1" t="s">
        <v>256</v>
      </c>
      <c r="F44" s="1" t="s">
        <v>265</v>
      </c>
      <c r="G44" s="1">
        <v>2002</v>
      </c>
      <c r="I44" s="25">
        <v>43054.43</v>
      </c>
      <c r="J44" s="23" t="s">
        <v>276</v>
      </c>
      <c r="L44" s="30">
        <f t="shared" si="2"/>
        <v>1.1024496702209435E-2</v>
      </c>
    </row>
    <row r="45" spans="1:12" x14ac:dyDescent="0.3">
      <c r="A45" t="s">
        <v>179</v>
      </c>
      <c r="B45" s="1" t="s">
        <v>180</v>
      </c>
      <c r="C45" s="1">
        <v>2003</v>
      </c>
      <c r="D45" s="1" t="s">
        <v>224</v>
      </c>
      <c r="E45" s="1" t="s">
        <v>393</v>
      </c>
      <c r="F45" s="1" t="s">
        <v>272</v>
      </c>
      <c r="G45" s="1">
        <v>2002</v>
      </c>
      <c r="I45" s="25">
        <v>30980.79</v>
      </c>
      <c r="J45" s="23" t="s">
        <v>276</v>
      </c>
      <c r="L45" s="30">
        <f t="shared" si="2"/>
        <v>7.9329262328369701E-3</v>
      </c>
    </row>
    <row r="46" spans="1:12" x14ac:dyDescent="0.3">
      <c r="A46" t="s">
        <v>179</v>
      </c>
      <c r="B46" s="1" t="s">
        <v>180</v>
      </c>
      <c r="C46" s="1">
        <v>2003</v>
      </c>
      <c r="D46" s="1" t="s">
        <v>224</v>
      </c>
      <c r="E46" s="1" t="s">
        <v>394</v>
      </c>
      <c r="F46" s="1" t="s">
        <v>395</v>
      </c>
      <c r="G46" s="1">
        <v>2002</v>
      </c>
      <c r="I46" s="25">
        <v>27354</v>
      </c>
      <c r="J46" s="23" t="s">
        <v>276</v>
      </c>
      <c r="L46" s="30">
        <f t="shared" si="2"/>
        <v>7.0042521243978122E-3</v>
      </c>
    </row>
    <row r="47" spans="1:12" x14ac:dyDescent="0.3">
      <c r="A47" t="s">
        <v>179</v>
      </c>
      <c r="B47" s="1" t="s">
        <v>180</v>
      </c>
      <c r="C47" s="1">
        <v>2003</v>
      </c>
      <c r="D47" s="1" t="s">
        <v>224</v>
      </c>
      <c r="E47" s="1" t="s">
        <v>258</v>
      </c>
      <c r="F47" s="1" t="s">
        <v>270</v>
      </c>
      <c r="G47" s="1">
        <v>2002</v>
      </c>
      <c r="I47" s="25">
        <v>26757.05</v>
      </c>
      <c r="J47" s="23" t="s">
        <v>276</v>
      </c>
      <c r="L47" s="30">
        <f t="shared" si="2"/>
        <v>6.851397393621352E-3</v>
      </c>
    </row>
    <row r="48" spans="1:12" x14ac:dyDescent="0.3">
      <c r="A48" t="s">
        <v>179</v>
      </c>
      <c r="B48" s="1" t="s">
        <v>180</v>
      </c>
      <c r="C48" s="1">
        <v>2003</v>
      </c>
      <c r="D48" s="1" t="s">
        <v>224</v>
      </c>
      <c r="E48" s="1" t="s">
        <v>259</v>
      </c>
      <c r="F48" s="1" t="s">
        <v>271</v>
      </c>
      <c r="G48" s="1">
        <v>2002</v>
      </c>
      <c r="I48" s="25">
        <v>25110.34</v>
      </c>
      <c r="J48" s="23" t="s">
        <v>276</v>
      </c>
      <c r="L48" s="30">
        <f t="shared" si="2"/>
        <v>6.429741620580221E-3</v>
      </c>
    </row>
    <row r="49" spans="1:12" x14ac:dyDescent="0.3">
      <c r="A49" t="s">
        <v>179</v>
      </c>
      <c r="B49" s="1" t="s">
        <v>180</v>
      </c>
      <c r="C49" s="1">
        <v>2003</v>
      </c>
      <c r="D49" s="1" t="s">
        <v>224</v>
      </c>
      <c r="E49" s="1" t="s">
        <v>263</v>
      </c>
      <c r="F49" s="1" t="s">
        <v>272</v>
      </c>
      <c r="G49" s="1">
        <v>2002</v>
      </c>
      <c r="I49" s="25">
        <v>11156.14</v>
      </c>
      <c r="J49" s="23" t="s">
        <v>276</v>
      </c>
      <c r="L49" s="30">
        <f t="shared" si="2"/>
        <v>2.8566358592922204E-3</v>
      </c>
    </row>
    <row r="50" spans="1:12" x14ac:dyDescent="0.3">
      <c r="A50" t="s">
        <v>179</v>
      </c>
      <c r="B50" s="1" t="s">
        <v>180</v>
      </c>
      <c r="C50" s="1">
        <v>2003</v>
      </c>
      <c r="D50" s="1" t="s">
        <v>224</v>
      </c>
      <c r="E50" s="1" t="s">
        <v>262</v>
      </c>
      <c r="F50" s="1" t="s">
        <v>268</v>
      </c>
      <c r="G50" s="1">
        <v>2002</v>
      </c>
      <c r="I50" s="25">
        <v>10475.379999999999</v>
      </c>
      <c r="J50" s="23" t="s">
        <v>276</v>
      </c>
      <c r="L50" s="30">
        <f t="shared" si="2"/>
        <v>2.6823207801006926E-3</v>
      </c>
    </row>
    <row r="51" spans="1:12" x14ac:dyDescent="0.3">
      <c r="A51" t="s">
        <v>179</v>
      </c>
      <c r="B51" s="1" t="s">
        <v>180</v>
      </c>
      <c r="C51" s="1">
        <v>2003</v>
      </c>
      <c r="D51" s="1" t="s">
        <v>249</v>
      </c>
      <c r="E51" s="1" t="s">
        <v>392</v>
      </c>
      <c r="F51" s="1" t="s">
        <v>265</v>
      </c>
      <c r="G51" s="1">
        <v>2002</v>
      </c>
      <c r="I51" s="25">
        <v>47329.25</v>
      </c>
      <c r="J51" s="23" t="s">
        <v>276</v>
      </c>
      <c r="L51" s="30">
        <f t="shared" si="2"/>
        <v>1.2119105061733389E-2</v>
      </c>
    </row>
    <row r="52" spans="1:12" x14ac:dyDescent="0.3">
      <c r="A52" t="s">
        <v>179</v>
      </c>
      <c r="B52" s="1" t="s">
        <v>180</v>
      </c>
      <c r="C52" s="1">
        <v>2003</v>
      </c>
      <c r="D52" s="1" t="s">
        <v>249</v>
      </c>
      <c r="E52" s="1" t="s">
        <v>256</v>
      </c>
      <c r="F52" s="1" t="s">
        <v>272</v>
      </c>
      <c r="G52" s="1">
        <v>2002</v>
      </c>
      <c r="I52" s="25">
        <v>29757.26</v>
      </c>
      <c r="J52" s="23" t="s">
        <v>276</v>
      </c>
      <c r="L52" s="30">
        <f t="shared" si="2"/>
        <v>7.6196297276909415E-3</v>
      </c>
    </row>
    <row r="53" spans="1:12" x14ac:dyDescent="0.3">
      <c r="A53" t="s">
        <v>179</v>
      </c>
      <c r="B53" s="1" t="s">
        <v>180</v>
      </c>
      <c r="C53" s="1">
        <v>2003</v>
      </c>
      <c r="D53" s="1" t="s">
        <v>249</v>
      </c>
      <c r="E53" s="1" t="s">
        <v>394</v>
      </c>
      <c r="F53" s="1" t="s">
        <v>395</v>
      </c>
      <c r="G53" s="1">
        <v>2002</v>
      </c>
      <c r="I53" s="25">
        <v>17035.919999999998</v>
      </c>
      <c r="J53" s="23" t="s">
        <v>276</v>
      </c>
      <c r="L53" s="30">
        <f t="shared" si="2"/>
        <v>4.3622095068754536E-3</v>
      </c>
    </row>
    <row r="54" spans="1:12" x14ac:dyDescent="0.3">
      <c r="A54" t="s">
        <v>179</v>
      </c>
      <c r="B54" s="1" t="s">
        <v>180</v>
      </c>
      <c r="C54" s="1">
        <v>2003</v>
      </c>
      <c r="D54" s="1" t="s">
        <v>249</v>
      </c>
      <c r="E54" s="1" t="s">
        <v>258</v>
      </c>
      <c r="F54" s="1" t="s">
        <v>270</v>
      </c>
      <c r="G54" s="1">
        <v>2002</v>
      </c>
      <c r="I54" s="25">
        <v>14686.51</v>
      </c>
      <c r="J54" s="23" t="s">
        <v>276</v>
      </c>
      <c r="L54" s="30">
        <f t="shared" si="2"/>
        <v>3.7606207087625106E-3</v>
      </c>
    </row>
    <row r="55" spans="1:12" x14ac:dyDescent="0.3">
      <c r="A55" t="s">
        <v>179</v>
      </c>
      <c r="B55" s="1" t="s">
        <v>180</v>
      </c>
      <c r="C55" s="1">
        <v>2003</v>
      </c>
      <c r="D55" s="1" t="s">
        <v>249</v>
      </c>
      <c r="E55" s="1" t="s">
        <v>393</v>
      </c>
      <c r="F55" s="1" t="s">
        <v>272</v>
      </c>
      <c r="G55" s="1">
        <v>2002</v>
      </c>
      <c r="I55" s="25">
        <v>20515.11</v>
      </c>
      <c r="J55" s="23" t="s">
        <v>276</v>
      </c>
      <c r="L55" s="30">
        <f t="shared" si="2"/>
        <v>5.2530892300853551E-3</v>
      </c>
    </row>
    <row r="56" spans="1:12" x14ac:dyDescent="0.3">
      <c r="A56" t="s">
        <v>179</v>
      </c>
      <c r="B56" s="1" t="s">
        <v>180</v>
      </c>
      <c r="C56" s="1">
        <v>2003</v>
      </c>
      <c r="D56" s="1" t="s">
        <v>249</v>
      </c>
      <c r="E56" s="1" t="s">
        <v>259</v>
      </c>
      <c r="F56" s="1" t="s">
        <v>271</v>
      </c>
      <c r="G56" s="1">
        <v>2002</v>
      </c>
      <c r="I56" s="25">
        <v>12511.9</v>
      </c>
      <c r="J56" s="23" t="s">
        <v>276</v>
      </c>
      <c r="L56" s="30">
        <f t="shared" si="2"/>
        <v>3.2037911148370614E-3</v>
      </c>
    </row>
    <row r="57" spans="1:12" x14ac:dyDescent="0.3">
      <c r="A57" t="s">
        <v>179</v>
      </c>
      <c r="B57" s="1" t="s">
        <v>180</v>
      </c>
      <c r="C57" s="1">
        <v>2003</v>
      </c>
      <c r="D57" s="1" t="s">
        <v>249</v>
      </c>
      <c r="E57" s="1" t="s">
        <v>396</v>
      </c>
      <c r="F57" s="1" t="s">
        <v>400</v>
      </c>
      <c r="G57" s="1">
        <v>2002</v>
      </c>
      <c r="I57" s="25">
        <v>5935.91</v>
      </c>
      <c r="J57" s="23" t="s">
        <v>276</v>
      </c>
      <c r="L57" s="30">
        <f t="shared" si="2"/>
        <v>1.5199462684702134E-3</v>
      </c>
    </row>
    <row r="58" spans="1:12" x14ac:dyDescent="0.3">
      <c r="A58" t="s">
        <v>179</v>
      </c>
      <c r="B58" s="1" t="s">
        <v>180</v>
      </c>
      <c r="C58" s="1">
        <v>2003</v>
      </c>
      <c r="D58" s="1" t="s">
        <v>249</v>
      </c>
      <c r="E58" s="1" t="s">
        <v>397</v>
      </c>
      <c r="F58" s="1" t="s">
        <v>272</v>
      </c>
      <c r="G58" s="1">
        <v>2002</v>
      </c>
      <c r="I58" s="25">
        <v>6202.53</v>
      </c>
      <c r="J58" s="23" t="s">
        <v>276</v>
      </c>
      <c r="L58" s="30">
        <f t="shared" si="2"/>
        <v>1.5882168578321694E-3</v>
      </c>
    </row>
    <row r="59" spans="1:12" x14ac:dyDescent="0.3">
      <c r="A59" t="s">
        <v>179</v>
      </c>
      <c r="B59" s="1" t="s">
        <v>180</v>
      </c>
      <c r="C59" s="1">
        <v>2003</v>
      </c>
      <c r="D59" s="1" t="s">
        <v>249</v>
      </c>
      <c r="E59" s="1" t="s">
        <v>398</v>
      </c>
      <c r="F59" s="1" t="s">
        <v>401</v>
      </c>
      <c r="G59" s="1">
        <v>2002</v>
      </c>
      <c r="I59" s="25">
        <v>2906.09</v>
      </c>
      <c r="J59" s="23" t="s">
        <v>276</v>
      </c>
      <c r="L59" s="30">
        <f t="shared" si="2"/>
        <v>7.4413201199792489E-4</v>
      </c>
    </row>
    <row r="60" spans="1:12" x14ac:dyDescent="0.3">
      <c r="A60" t="s">
        <v>179</v>
      </c>
      <c r="B60" s="1" t="s">
        <v>180</v>
      </c>
      <c r="C60" s="1">
        <v>2003</v>
      </c>
      <c r="D60" s="1" t="s">
        <v>249</v>
      </c>
      <c r="E60" s="1" t="s">
        <v>399</v>
      </c>
      <c r="F60" s="1" t="s">
        <v>400</v>
      </c>
      <c r="G60" s="1">
        <v>2002</v>
      </c>
      <c r="I60" s="25">
        <v>1180.27</v>
      </c>
      <c r="J60" s="23" t="s">
        <v>276</v>
      </c>
      <c r="L60" s="30">
        <f t="shared" si="2"/>
        <v>3.0221937028818472E-4</v>
      </c>
    </row>
    <row r="61" spans="1:12" x14ac:dyDescent="0.3">
      <c r="A61" t="s">
        <v>179</v>
      </c>
      <c r="B61" s="1" t="s">
        <v>180</v>
      </c>
      <c r="C61" s="1">
        <v>1992</v>
      </c>
      <c r="D61" s="1" t="s">
        <v>181</v>
      </c>
      <c r="E61" s="1" t="s">
        <v>489</v>
      </c>
      <c r="F61" s="1" t="s">
        <v>268</v>
      </c>
      <c r="G61" s="1">
        <v>1991</v>
      </c>
      <c r="H61" s="1">
        <v>20197</v>
      </c>
      <c r="J61" s="23" t="s">
        <v>492</v>
      </c>
      <c r="L61" s="26">
        <f>H61/147804</f>
        <v>0.13664718140239776</v>
      </c>
    </row>
    <row r="62" spans="1:12" x14ac:dyDescent="0.3">
      <c r="A62" t="s">
        <v>179</v>
      </c>
      <c r="B62" s="1" t="s">
        <v>180</v>
      </c>
      <c r="C62" s="1">
        <v>1992</v>
      </c>
      <c r="D62" s="1" t="s">
        <v>181</v>
      </c>
      <c r="E62" s="1" t="s">
        <v>490</v>
      </c>
      <c r="F62" s="1" t="s">
        <v>223</v>
      </c>
      <c r="G62" s="1">
        <v>1991</v>
      </c>
      <c r="H62" s="1">
        <v>12261</v>
      </c>
      <c r="J62" s="23" t="s">
        <v>492</v>
      </c>
      <c r="L62" s="26">
        <f t="shared" ref="L62:L65" si="3">H62/147804</f>
        <v>8.295445319477146E-2</v>
      </c>
    </row>
    <row r="63" spans="1:12" x14ac:dyDescent="0.3">
      <c r="A63" t="s">
        <v>179</v>
      </c>
      <c r="B63" s="1" t="s">
        <v>180</v>
      </c>
      <c r="C63" s="1">
        <v>1992</v>
      </c>
      <c r="D63" s="1" t="s">
        <v>181</v>
      </c>
      <c r="E63" s="1" t="s">
        <v>262</v>
      </c>
      <c r="F63" s="1" t="s">
        <v>268</v>
      </c>
      <c r="G63" s="1">
        <v>1991</v>
      </c>
      <c r="H63" s="1">
        <v>9899</v>
      </c>
      <c r="J63" s="23" t="s">
        <v>492</v>
      </c>
      <c r="L63" s="26">
        <f t="shared" si="3"/>
        <v>6.6973830207572194E-2</v>
      </c>
    </row>
    <row r="64" spans="1:12" x14ac:dyDescent="0.3">
      <c r="A64" t="s">
        <v>179</v>
      </c>
      <c r="B64" s="1" t="s">
        <v>180</v>
      </c>
      <c r="C64" s="1">
        <v>1992</v>
      </c>
      <c r="D64" s="1" t="s">
        <v>181</v>
      </c>
      <c r="E64" s="1" t="s">
        <v>491</v>
      </c>
      <c r="F64" s="1" t="s">
        <v>268</v>
      </c>
      <c r="G64" s="1">
        <v>1991</v>
      </c>
      <c r="H64" s="1">
        <v>5960</v>
      </c>
      <c r="J64" s="23" t="s">
        <v>492</v>
      </c>
      <c r="L64" s="26">
        <f t="shared" si="3"/>
        <v>4.0323671889800003E-2</v>
      </c>
    </row>
    <row r="65" spans="1:12" x14ac:dyDescent="0.3">
      <c r="A65" t="s">
        <v>179</v>
      </c>
      <c r="B65" s="1" t="s">
        <v>180</v>
      </c>
      <c r="C65" s="1">
        <v>1992</v>
      </c>
      <c r="D65" s="1" t="s">
        <v>181</v>
      </c>
      <c r="E65" s="1" t="s">
        <v>265</v>
      </c>
      <c r="F65" s="1" t="s">
        <v>265</v>
      </c>
      <c r="G65" s="1">
        <v>1991</v>
      </c>
      <c r="H65" s="1">
        <v>4745</v>
      </c>
      <c r="J65" s="23" t="s">
        <v>492</v>
      </c>
      <c r="L65" s="26">
        <f t="shared" si="3"/>
        <v>3.2103326026359236E-2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P119"/>
  <sheetViews>
    <sheetView workbookViewId="0">
      <pane ySplit="1" topLeftCell="A93" activePane="bottomLeft" state="frozen"/>
      <selection pane="bottomLeft" activeCell="D120" sqref="D120"/>
    </sheetView>
  </sheetViews>
  <sheetFormatPr defaultRowHeight="14.4" x14ac:dyDescent="0.3"/>
  <cols>
    <col min="1" max="9" width="8.88671875" style="1"/>
    <col min="10" max="10" width="9.109375" style="1" bestFit="1" customWidth="1"/>
    <col min="11" max="16384" width="8.88671875" style="1"/>
  </cols>
  <sheetData>
    <row r="1" spans="1:16" x14ac:dyDescent="0.3">
      <c r="A1" s="4" t="s">
        <v>0</v>
      </c>
      <c r="B1" s="4" t="s">
        <v>27</v>
      </c>
      <c r="C1" s="4" t="s">
        <v>2</v>
      </c>
      <c r="D1" s="4" t="s">
        <v>148</v>
      </c>
      <c r="E1" s="4" t="s">
        <v>149</v>
      </c>
      <c r="F1" s="4" t="s">
        <v>24</v>
      </c>
      <c r="G1" s="4" t="s">
        <v>150</v>
      </c>
      <c r="H1" s="4" t="s">
        <v>151</v>
      </c>
      <c r="I1" s="4" t="s">
        <v>152</v>
      </c>
      <c r="J1" s="4" t="s">
        <v>135</v>
      </c>
      <c r="K1" s="4" t="s">
        <v>153</v>
      </c>
      <c r="L1" s="4" t="s">
        <v>154</v>
      </c>
      <c r="M1" s="4" t="s">
        <v>175</v>
      </c>
      <c r="N1" s="4" t="s">
        <v>155</v>
      </c>
      <c r="O1" s="4" t="s">
        <v>156</v>
      </c>
      <c r="P1" s="4" t="s">
        <v>96</v>
      </c>
    </row>
    <row r="2" spans="1:16" x14ac:dyDescent="0.3">
      <c r="A2" t="s">
        <v>179</v>
      </c>
      <c r="B2" s="1" t="s">
        <v>180</v>
      </c>
      <c r="C2" s="1">
        <v>2019</v>
      </c>
      <c r="D2" s="1">
        <v>2018</v>
      </c>
      <c r="E2" s="1">
        <v>2016</v>
      </c>
      <c r="F2" s="1" t="s">
        <v>224</v>
      </c>
      <c r="G2" s="1" t="s">
        <v>283</v>
      </c>
      <c r="H2" s="1" t="s">
        <v>277</v>
      </c>
      <c r="I2" s="1" t="s">
        <v>340</v>
      </c>
      <c r="J2" s="21">
        <v>6000</v>
      </c>
      <c r="K2" s="1" t="s">
        <v>144</v>
      </c>
      <c r="N2" s="25">
        <v>75</v>
      </c>
      <c r="O2" s="1" t="s">
        <v>278</v>
      </c>
    </row>
    <row r="3" spans="1:16" x14ac:dyDescent="0.3">
      <c r="A3" t="s">
        <v>179</v>
      </c>
      <c r="B3" s="1" t="s">
        <v>180</v>
      </c>
      <c r="C3" s="1">
        <v>2019</v>
      </c>
      <c r="D3" s="1">
        <v>2018</v>
      </c>
      <c r="E3" s="1">
        <v>2016</v>
      </c>
      <c r="F3" s="1" t="s">
        <v>224</v>
      </c>
      <c r="G3" s="1" t="s">
        <v>283</v>
      </c>
      <c r="H3" s="1" t="s">
        <v>277</v>
      </c>
      <c r="I3" s="1" t="s">
        <v>340</v>
      </c>
      <c r="J3" s="21" t="s">
        <v>279</v>
      </c>
      <c r="K3" s="1" t="s">
        <v>144</v>
      </c>
      <c r="N3" s="25">
        <v>12.5</v>
      </c>
      <c r="O3" s="1" t="s">
        <v>280</v>
      </c>
    </row>
    <row r="4" spans="1:16" x14ac:dyDescent="0.3">
      <c r="A4" t="s">
        <v>179</v>
      </c>
      <c r="B4" s="1" t="s">
        <v>180</v>
      </c>
      <c r="C4" s="1">
        <v>2019</v>
      </c>
      <c r="D4" s="1">
        <v>2018</v>
      </c>
      <c r="E4" s="1">
        <v>2007</v>
      </c>
      <c r="F4" s="1" t="s">
        <v>224</v>
      </c>
      <c r="G4" s="1" t="s">
        <v>283</v>
      </c>
      <c r="H4" s="1" t="s">
        <v>277</v>
      </c>
      <c r="I4" s="1" t="s">
        <v>340</v>
      </c>
      <c r="J4" s="21">
        <v>6000</v>
      </c>
      <c r="K4" s="1" t="s">
        <v>144</v>
      </c>
      <c r="N4" s="25">
        <v>46.27</v>
      </c>
      <c r="O4" s="1" t="s">
        <v>278</v>
      </c>
    </row>
    <row r="5" spans="1:16" x14ac:dyDescent="0.3">
      <c r="A5" t="s">
        <v>179</v>
      </c>
      <c r="B5" s="1" t="s">
        <v>180</v>
      </c>
      <c r="C5" s="1">
        <v>2019</v>
      </c>
      <c r="D5" s="1">
        <v>2018</v>
      </c>
      <c r="E5" s="1">
        <v>2007</v>
      </c>
      <c r="F5" s="1" t="s">
        <v>224</v>
      </c>
      <c r="G5" s="1" t="s">
        <v>283</v>
      </c>
      <c r="H5" s="1" t="s">
        <v>277</v>
      </c>
      <c r="I5" s="1" t="s">
        <v>340</v>
      </c>
      <c r="J5" s="21">
        <v>12000</v>
      </c>
      <c r="K5" s="1" t="s">
        <v>144</v>
      </c>
      <c r="N5" s="25">
        <v>6.25</v>
      </c>
      <c r="O5" s="1" t="s">
        <v>280</v>
      </c>
    </row>
    <row r="6" spans="1:16" x14ac:dyDescent="0.3">
      <c r="A6" t="s">
        <v>179</v>
      </c>
      <c r="B6" s="1" t="s">
        <v>180</v>
      </c>
      <c r="C6" s="1">
        <v>2019</v>
      </c>
      <c r="D6" s="1">
        <v>2018</v>
      </c>
      <c r="E6" s="1">
        <v>2007</v>
      </c>
      <c r="F6" s="1" t="s">
        <v>224</v>
      </c>
      <c r="G6" s="1" t="s">
        <v>283</v>
      </c>
      <c r="H6" s="1" t="s">
        <v>277</v>
      </c>
      <c r="I6" s="1" t="s">
        <v>340</v>
      </c>
      <c r="J6" s="21">
        <v>42000</v>
      </c>
      <c r="K6" s="1" t="s">
        <v>144</v>
      </c>
      <c r="N6" s="25">
        <v>5.41</v>
      </c>
      <c r="O6" s="1" t="s">
        <v>280</v>
      </c>
    </row>
    <row r="7" spans="1:16" x14ac:dyDescent="0.3">
      <c r="A7" t="s">
        <v>179</v>
      </c>
      <c r="B7" s="1" t="s">
        <v>180</v>
      </c>
      <c r="C7" s="1">
        <v>2019</v>
      </c>
      <c r="D7" s="1">
        <v>2018</v>
      </c>
      <c r="E7" s="1">
        <v>2007</v>
      </c>
      <c r="F7" s="1" t="s">
        <v>224</v>
      </c>
      <c r="G7" s="1" t="s">
        <v>283</v>
      </c>
      <c r="H7" s="1" t="s">
        <v>277</v>
      </c>
      <c r="I7" s="1" t="s">
        <v>340</v>
      </c>
      <c r="J7" s="21" t="s">
        <v>281</v>
      </c>
      <c r="K7" s="1" t="s">
        <v>144</v>
      </c>
      <c r="N7" s="25">
        <v>4.66</v>
      </c>
      <c r="O7" s="1" t="s">
        <v>280</v>
      </c>
    </row>
    <row r="8" spans="1:16" x14ac:dyDescent="0.3">
      <c r="A8" t="s">
        <v>179</v>
      </c>
      <c r="B8" s="1" t="s">
        <v>180</v>
      </c>
      <c r="C8" s="1">
        <v>2019</v>
      </c>
      <c r="D8" s="1">
        <v>2018</v>
      </c>
      <c r="E8" s="1">
        <v>2005</v>
      </c>
      <c r="F8" s="1" t="s">
        <v>224</v>
      </c>
      <c r="G8" s="1" t="s">
        <v>283</v>
      </c>
      <c r="H8" s="1" t="s">
        <v>277</v>
      </c>
      <c r="I8" s="1" t="s">
        <v>340</v>
      </c>
      <c r="J8" s="21">
        <v>6000</v>
      </c>
      <c r="K8" s="1" t="s">
        <v>144</v>
      </c>
      <c r="N8" s="25">
        <v>38.56</v>
      </c>
      <c r="O8" s="1" t="s">
        <v>278</v>
      </c>
    </row>
    <row r="9" spans="1:16" x14ac:dyDescent="0.3">
      <c r="A9" t="s">
        <v>179</v>
      </c>
      <c r="B9" s="1" t="s">
        <v>180</v>
      </c>
      <c r="C9" s="1">
        <v>2019</v>
      </c>
      <c r="D9" s="1">
        <v>2018</v>
      </c>
      <c r="E9" s="1">
        <v>2005</v>
      </c>
      <c r="F9" s="1" t="s">
        <v>224</v>
      </c>
      <c r="G9" s="1" t="s">
        <v>283</v>
      </c>
      <c r="H9" s="1" t="s">
        <v>277</v>
      </c>
      <c r="I9" s="1" t="s">
        <v>340</v>
      </c>
      <c r="J9" s="21">
        <v>12000</v>
      </c>
      <c r="K9" s="1" t="s">
        <v>144</v>
      </c>
      <c r="N9" s="25">
        <v>5.21</v>
      </c>
      <c r="O9" s="1" t="s">
        <v>280</v>
      </c>
    </row>
    <row r="10" spans="1:16" x14ac:dyDescent="0.3">
      <c r="A10" t="s">
        <v>179</v>
      </c>
      <c r="B10" s="1" t="s">
        <v>180</v>
      </c>
      <c r="C10" s="1">
        <v>2019</v>
      </c>
      <c r="D10" s="1">
        <v>2018</v>
      </c>
      <c r="E10" s="1">
        <v>2005</v>
      </c>
      <c r="F10" s="1" t="s">
        <v>224</v>
      </c>
      <c r="G10" s="1" t="s">
        <v>283</v>
      </c>
      <c r="H10" s="1" t="s">
        <v>277</v>
      </c>
      <c r="I10" s="1" t="s">
        <v>340</v>
      </c>
      <c r="J10" s="21">
        <v>42000</v>
      </c>
      <c r="K10" s="1" t="s">
        <v>144</v>
      </c>
      <c r="N10" s="25">
        <v>4.51</v>
      </c>
      <c r="O10" s="1" t="s">
        <v>280</v>
      </c>
    </row>
    <row r="11" spans="1:16" x14ac:dyDescent="0.3">
      <c r="A11" t="s">
        <v>179</v>
      </c>
      <c r="B11" s="1" t="s">
        <v>180</v>
      </c>
      <c r="C11" s="1">
        <v>2019</v>
      </c>
      <c r="D11" s="1">
        <v>2018</v>
      </c>
      <c r="E11" s="1">
        <v>2005</v>
      </c>
      <c r="F11" s="1" t="s">
        <v>224</v>
      </c>
      <c r="G11" s="1" t="s">
        <v>283</v>
      </c>
      <c r="H11" s="1" t="s">
        <v>277</v>
      </c>
      <c r="I11" s="1" t="s">
        <v>340</v>
      </c>
      <c r="J11" s="21" t="s">
        <v>281</v>
      </c>
      <c r="K11" s="1" t="s">
        <v>144</v>
      </c>
      <c r="N11" s="25">
        <v>3.88</v>
      </c>
      <c r="O11" s="1" t="s">
        <v>280</v>
      </c>
    </row>
    <row r="12" spans="1:16" x14ac:dyDescent="0.3">
      <c r="A12" t="s">
        <v>179</v>
      </c>
      <c r="B12" s="1" t="s">
        <v>180</v>
      </c>
      <c r="C12" s="1">
        <v>2019</v>
      </c>
      <c r="D12" s="1">
        <v>2018</v>
      </c>
      <c r="E12" s="1">
        <v>2001</v>
      </c>
      <c r="F12" s="1" t="s">
        <v>224</v>
      </c>
      <c r="G12" s="1" t="s">
        <v>283</v>
      </c>
      <c r="H12" s="1" t="s">
        <v>277</v>
      </c>
      <c r="I12" s="1" t="s">
        <v>340</v>
      </c>
      <c r="J12" s="21">
        <v>6000</v>
      </c>
      <c r="K12" s="1" t="s">
        <v>144</v>
      </c>
      <c r="N12" s="25">
        <v>34.43</v>
      </c>
      <c r="O12" s="1" t="s">
        <v>278</v>
      </c>
    </row>
    <row r="13" spans="1:16" x14ac:dyDescent="0.3">
      <c r="A13" t="s">
        <v>179</v>
      </c>
      <c r="B13" s="1" t="s">
        <v>180</v>
      </c>
      <c r="C13" s="1">
        <v>2019</v>
      </c>
      <c r="D13" s="1">
        <v>2018</v>
      </c>
      <c r="E13" s="1">
        <v>2001</v>
      </c>
      <c r="F13" s="1" t="s">
        <v>224</v>
      </c>
      <c r="G13" s="1" t="s">
        <v>283</v>
      </c>
      <c r="H13" s="1" t="s">
        <v>277</v>
      </c>
      <c r="I13" s="1" t="s">
        <v>340</v>
      </c>
      <c r="J13" s="21">
        <v>12000</v>
      </c>
      <c r="K13" s="1" t="s">
        <v>144</v>
      </c>
      <c r="N13" s="25">
        <v>4.6520000000000001</v>
      </c>
      <c r="O13" s="1" t="s">
        <v>280</v>
      </c>
    </row>
    <row r="14" spans="1:16" x14ac:dyDescent="0.3">
      <c r="A14" t="s">
        <v>179</v>
      </c>
      <c r="B14" s="1" t="s">
        <v>180</v>
      </c>
      <c r="C14" s="1">
        <v>2019</v>
      </c>
      <c r="D14" s="1">
        <v>2018</v>
      </c>
      <c r="E14" s="1">
        <v>2001</v>
      </c>
      <c r="F14" s="1" t="s">
        <v>224</v>
      </c>
      <c r="G14" s="1" t="s">
        <v>283</v>
      </c>
      <c r="H14" s="1" t="s">
        <v>277</v>
      </c>
      <c r="I14" s="1" t="s">
        <v>340</v>
      </c>
      <c r="J14" s="21">
        <v>42000</v>
      </c>
      <c r="K14" s="1" t="s">
        <v>144</v>
      </c>
      <c r="N14" s="25">
        <v>4.03</v>
      </c>
      <c r="O14" s="1" t="s">
        <v>280</v>
      </c>
    </row>
    <row r="15" spans="1:16" x14ac:dyDescent="0.3">
      <c r="A15" t="s">
        <v>179</v>
      </c>
      <c r="B15" s="1" t="s">
        <v>180</v>
      </c>
      <c r="C15" s="1">
        <v>2019</v>
      </c>
      <c r="D15" s="1">
        <v>2018</v>
      </c>
      <c r="E15" s="1">
        <v>2001</v>
      </c>
      <c r="F15" s="1" t="s">
        <v>224</v>
      </c>
      <c r="G15" s="1" t="s">
        <v>283</v>
      </c>
      <c r="H15" s="1" t="s">
        <v>277</v>
      </c>
      <c r="I15" s="1" t="s">
        <v>340</v>
      </c>
      <c r="J15" s="21" t="s">
        <v>281</v>
      </c>
      <c r="K15" s="1" t="s">
        <v>144</v>
      </c>
      <c r="N15" s="25">
        <v>3.46</v>
      </c>
      <c r="O15" s="1" t="s">
        <v>280</v>
      </c>
    </row>
    <row r="16" spans="1:16" x14ac:dyDescent="0.3">
      <c r="A16" t="s">
        <v>179</v>
      </c>
      <c r="B16" s="1" t="s">
        <v>180</v>
      </c>
      <c r="C16" s="1">
        <v>2019</v>
      </c>
      <c r="D16" s="1">
        <v>2018</v>
      </c>
      <c r="E16" s="1">
        <v>2018</v>
      </c>
      <c r="F16" s="1" t="s">
        <v>249</v>
      </c>
      <c r="G16" s="1" t="s">
        <v>283</v>
      </c>
      <c r="H16" s="1" t="s">
        <v>277</v>
      </c>
      <c r="I16" s="1" t="s">
        <v>340</v>
      </c>
      <c r="J16" s="21">
        <v>6000</v>
      </c>
      <c r="K16" s="1" t="s">
        <v>144</v>
      </c>
      <c r="N16" s="25">
        <v>47</v>
      </c>
      <c r="O16" s="1" t="s">
        <v>278</v>
      </c>
      <c r="P16" s="1" t="s">
        <v>284</v>
      </c>
    </row>
    <row r="17" spans="1:15" x14ac:dyDescent="0.3">
      <c r="A17" t="s">
        <v>179</v>
      </c>
      <c r="B17" s="1" t="s">
        <v>180</v>
      </c>
      <c r="C17" s="1">
        <v>2019</v>
      </c>
      <c r="D17" s="1">
        <v>2018</v>
      </c>
      <c r="E17" s="1">
        <v>2018</v>
      </c>
      <c r="F17" s="1" t="s">
        <v>249</v>
      </c>
      <c r="G17" s="1" t="s">
        <v>283</v>
      </c>
      <c r="H17" s="1" t="s">
        <v>277</v>
      </c>
      <c r="I17" s="1" t="s">
        <v>340</v>
      </c>
      <c r="J17" s="21" t="s">
        <v>279</v>
      </c>
      <c r="K17" s="1" t="s">
        <v>144</v>
      </c>
      <c r="N17" s="25">
        <v>6.25</v>
      </c>
      <c r="O17" s="1" t="s">
        <v>280</v>
      </c>
    </row>
    <row r="18" spans="1:15" x14ac:dyDescent="0.3">
      <c r="A18" t="s">
        <v>179</v>
      </c>
      <c r="B18" s="1" t="s">
        <v>180</v>
      </c>
      <c r="C18" s="1">
        <v>2019</v>
      </c>
      <c r="D18" s="1">
        <v>2018</v>
      </c>
      <c r="E18" s="1">
        <v>2012</v>
      </c>
      <c r="F18" s="1" t="s">
        <v>249</v>
      </c>
      <c r="G18" s="1" t="s">
        <v>283</v>
      </c>
      <c r="H18" s="1" t="s">
        <v>277</v>
      </c>
      <c r="I18" s="1" t="s">
        <v>340</v>
      </c>
      <c r="J18" s="21">
        <v>6000</v>
      </c>
      <c r="K18" s="1" t="s">
        <v>144</v>
      </c>
      <c r="N18" s="25">
        <v>39.08</v>
      </c>
      <c r="O18" s="1" t="s">
        <v>278</v>
      </c>
    </row>
    <row r="19" spans="1:15" x14ac:dyDescent="0.3">
      <c r="A19" t="s">
        <v>179</v>
      </c>
      <c r="B19" s="1" t="s">
        <v>180</v>
      </c>
      <c r="C19" s="1">
        <v>2019</v>
      </c>
      <c r="D19" s="1">
        <v>2018</v>
      </c>
      <c r="E19" s="1">
        <v>2012</v>
      </c>
      <c r="F19" s="1" t="s">
        <v>249</v>
      </c>
      <c r="G19" s="1" t="s">
        <v>283</v>
      </c>
      <c r="H19" s="1" t="s">
        <v>277</v>
      </c>
      <c r="I19" s="1" t="s">
        <v>340</v>
      </c>
      <c r="J19" s="21">
        <v>12000</v>
      </c>
      <c r="K19" s="1" t="s">
        <v>144</v>
      </c>
      <c r="N19" s="25">
        <v>5.24</v>
      </c>
      <c r="O19" s="1" t="s">
        <v>280</v>
      </c>
    </row>
    <row r="20" spans="1:15" x14ac:dyDescent="0.3">
      <c r="A20" t="s">
        <v>179</v>
      </c>
      <c r="B20" s="1" t="s">
        <v>180</v>
      </c>
      <c r="C20" s="1">
        <v>2019</v>
      </c>
      <c r="D20" s="1">
        <v>2018</v>
      </c>
      <c r="E20" s="1">
        <v>2012</v>
      </c>
      <c r="F20" s="1" t="s">
        <v>249</v>
      </c>
      <c r="G20" s="1" t="s">
        <v>283</v>
      </c>
      <c r="H20" s="1" t="s">
        <v>277</v>
      </c>
      <c r="I20" s="1" t="s">
        <v>340</v>
      </c>
      <c r="J20" s="21">
        <v>42000</v>
      </c>
      <c r="K20" s="1" t="s">
        <v>144</v>
      </c>
      <c r="N20" s="25">
        <v>4.53</v>
      </c>
      <c r="O20" s="1" t="s">
        <v>280</v>
      </c>
    </row>
    <row r="21" spans="1:15" x14ac:dyDescent="0.3">
      <c r="A21" t="s">
        <v>179</v>
      </c>
      <c r="B21" s="1" t="s">
        <v>180</v>
      </c>
      <c r="C21" s="1">
        <v>2019</v>
      </c>
      <c r="D21" s="1">
        <v>2018</v>
      </c>
      <c r="E21" s="1">
        <v>2012</v>
      </c>
      <c r="F21" s="1" t="s">
        <v>249</v>
      </c>
      <c r="G21" s="1" t="s">
        <v>283</v>
      </c>
      <c r="H21" s="1" t="s">
        <v>277</v>
      </c>
      <c r="I21" s="1" t="s">
        <v>340</v>
      </c>
      <c r="J21" s="21" t="s">
        <v>281</v>
      </c>
      <c r="K21" s="1" t="s">
        <v>144</v>
      </c>
      <c r="N21" s="25">
        <v>3.62</v>
      </c>
      <c r="O21" s="1" t="s">
        <v>280</v>
      </c>
    </row>
    <row r="22" spans="1:15" x14ac:dyDescent="0.3">
      <c r="A22" t="s">
        <v>179</v>
      </c>
      <c r="B22" s="1" t="s">
        <v>180</v>
      </c>
      <c r="C22" s="1">
        <v>2019</v>
      </c>
      <c r="D22" s="1">
        <v>2018</v>
      </c>
      <c r="E22" s="1">
        <v>2007</v>
      </c>
      <c r="F22" s="1" t="s">
        <v>249</v>
      </c>
      <c r="G22" s="1" t="s">
        <v>283</v>
      </c>
      <c r="H22" s="1" t="s">
        <v>277</v>
      </c>
      <c r="I22" s="1" t="s">
        <v>340</v>
      </c>
      <c r="J22" s="21">
        <v>6000</v>
      </c>
      <c r="K22" s="1" t="s">
        <v>144</v>
      </c>
      <c r="N22" s="25">
        <v>31.26</v>
      </c>
      <c r="O22" s="1" t="s">
        <v>278</v>
      </c>
    </row>
    <row r="23" spans="1:15" x14ac:dyDescent="0.3">
      <c r="A23" t="s">
        <v>179</v>
      </c>
      <c r="B23" s="1" t="s">
        <v>180</v>
      </c>
      <c r="C23" s="1">
        <v>2019</v>
      </c>
      <c r="D23" s="1">
        <v>2018</v>
      </c>
      <c r="E23" s="1">
        <v>2007</v>
      </c>
      <c r="F23" s="1" t="s">
        <v>249</v>
      </c>
      <c r="G23" s="1" t="s">
        <v>283</v>
      </c>
      <c r="H23" s="1" t="s">
        <v>277</v>
      </c>
      <c r="I23" s="1" t="s">
        <v>340</v>
      </c>
      <c r="J23" s="21">
        <v>12000</v>
      </c>
      <c r="K23" s="1" t="s">
        <v>144</v>
      </c>
      <c r="N23" s="25">
        <v>4.1900000000000004</v>
      </c>
      <c r="O23" s="1" t="s">
        <v>280</v>
      </c>
    </row>
    <row r="24" spans="1:15" x14ac:dyDescent="0.3">
      <c r="A24" t="s">
        <v>179</v>
      </c>
      <c r="B24" s="1" t="s">
        <v>180</v>
      </c>
      <c r="C24" s="1">
        <v>2019</v>
      </c>
      <c r="D24" s="1">
        <v>2018</v>
      </c>
      <c r="E24" s="1">
        <v>2007</v>
      </c>
      <c r="F24" s="1" t="s">
        <v>249</v>
      </c>
      <c r="G24" s="1" t="s">
        <v>283</v>
      </c>
      <c r="H24" s="1" t="s">
        <v>277</v>
      </c>
      <c r="I24" s="1" t="s">
        <v>340</v>
      </c>
      <c r="J24" s="21">
        <v>42000</v>
      </c>
      <c r="K24" s="1" t="s">
        <v>144</v>
      </c>
      <c r="N24" s="25">
        <v>3.62</v>
      </c>
      <c r="O24" s="1" t="s">
        <v>280</v>
      </c>
    </row>
    <row r="25" spans="1:15" x14ac:dyDescent="0.3">
      <c r="A25" t="s">
        <v>179</v>
      </c>
      <c r="B25" s="1" t="s">
        <v>180</v>
      </c>
      <c r="C25" s="1">
        <v>2019</v>
      </c>
      <c r="D25" s="1">
        <v>2018</v>
      </c>
      <c r="E25" s="1">
        <v>2007</v>
      </c>
      <c r="F25" s="1" t="s">
        <v>249</v>
      </c>
      <c r="G25" s="1" t="s">
        <v>283</v>
      </c>
      <c r="H25" s="1" t="s">
        <v>277</v>
      </c>
      <c r="I25" s="1" t="s">
        <v>340</v>
      </c>
      <c r="J25" s="21" t="s">
        <v>281</v>
      </c>
      <c r="K25" s="1" t="s">
        <v>144</v>
      </c>
      <c r="N25" s="25">
        <v>2.89</v>
      </c>
      <c r="O25" s="1" t="s">
        <v>280</v>
      </c>
    </row>
    <row r="26" spans="1:15" x14ac:dyDescent="0.3">
      <c r="A26" t="s">
        <v>179</v>
      </c>
      <c r="B26" s="1" t="s">
        <v>180</v>
      </c>
      <c r="C26" s="1">
        <v>2019</v>
      </c>
      <c r="D26" s="1">
        <v>2018</v>
      </c>
      <c r="E26" s="1">
        <v>2005</v>
      </c>
      <c r="F26" s="1" t="s">
        <v>249</v>
      </c>
      <c r="G26" s="1" t="s">
        <v>283</v>
      </c>
      <c r="H26" s="1" t="s">
        <v>277</v>
      </c>
      <c r="I26" s="1" t="s">
        <v>340</v>
      </c>
      <c r="J26" s="21">
        <v>6000</v>
      </c>
      <c r="K26" s="1" t="s">
        <v>144</v>
      </c>
      <c r="N26" s="25">
        <v>26.05</v>
      </c>
      <c r="O26" s="1" t="s">
        <v>278</v>
      </c>
    </row>
    <row r="27" spans="1:15" x14ac:dyDescent="0.3">
      <c r="A27" t="s">
        <v>179</v>
      </c>
      <c r="B27" s="1" t="s">
        <v>180</v>
      </c>
      <c r="C27" s="1">
        <v>2019</v>
      </c>
      <c r="D27" s="1">
        <v>2018</v>
      </c>
      <c r="E27" s="1">
        <v>2005</v>
      </c>
      <c r="F27" s="1" t="s">
        <v>249</v>
      </c>
      <c r="G27" s="1" t="s">
        <v>283</v>
      </c>
      <c r="H27" s="1" t="s">
        <v>277</v>
      </c>
      <c r="I27" s="1" t="s">
        <v>340</v>
      </c>
      <c r="J27" s="21">
        <v>12000</v>
      </c>
      <c r="K27" s="1" t="s">
        <v>144</v>
      </c>
      <c r="N27" s="25">
        <v>3.49</v>
      </c>
      <c r="O27" s="1" t="s">
        <v>280</v>
      </c>
    </row>
    <row r="28" spans="1:15" x14ac:dyDescent="0.3">
      <c r="A28" t="s">
        <v>179</v>
      </c>
      <c r="B28" s="1" t="s">
        <v>180</v>
      </c>
      <c r="C28" s="1">
        <v>2019</v>
      </c>
      <c r="D28" s="1">
        <v>2018</v>
      </c>
      <c r="E28" s="1">
        <v>2005</v>
      </c>
      <c r="F28" s="1" t="s">
        <v>249</v>
      </c>
      <c r="G28" s="1" t="s">
        <v>283</v>
      </c>
      <c r="H28" s="1" t="s">
        <v>277</v>
      </c>
      <c r="I28" s="1" t="s">
        <v>340</v>
      </c>
      <c r="J28" s="21">
        <v>42000</v>
      </c>
      <c r="K28" s="1" t="s">
        <v>144</v>
      </c>
      <c r="N28" s="25">
        <v>3.02</v>
      </c>
      <c r="O28" s="1" t="s">
        <v>280</v>
      </c>
    </row>
    <row r="29" spans="1:15" x14ac:dyDescent="0.3">
      <c r="A29" t="s">
        <v>179</v>
      </c>
      <c r="B29" s="1" t="s">
        <v>180</v>
      </c>
      <c r="C29" s="1">
        <v>2019</v>
      </c>
      <c r="D29" s="1">
        <v>2018</v>
      </c>
      <c r="E29" s="1">
        <v>2005</v>
      </c>
      <c r="F29" s="1" t="s">
        <v>249</v>
      </c>
      <c r="G29" s="1" t="s">
        <v>283</v>
      </c>
      <c r="H29" s="1" t="s">
        <v>277</v>
      </c>
      <c r="I29" s="1" t="s">
        <v>340</v>
      </c>
      <c r="J29" s="21" t="s">
        <v>281</v>
      </c>
      <c r="K29" s="1" t="s">
        <v>144</v>
      </c>
      <c r="N29" s="25">
        <v>2.41</v>
      </c>
      <c r="O29" s="1" t="s">
        <v>280</v>
      </c>
    </row>
    <row r="30" spans="1:15" x14ac:dyDescent="0.3">
      <c r="A30" t="s">
        <v>179</v>
      </c>
      <c r="B30" s="1" t="s">
        <v>180</v>
      </c>
      <c r="C30" s="1">
        <v>2019</v>
      </c>
      <c r="D30" s="1">
        <v>2018</v>
      </c>
      <c r="E30" s="1">
        <v>2001</v>
      </c>
      <c r="F30" s="1" t="s">
        <v>249</v>
      </c>
      <c r="G30" s="1" t="s">
        <v>283</v>
      </c>
      <c r="H30" s="1" t="s">
        <v>277</v>
      </c>
      <c r="I30" s="1" t="s">
        <v>340</v>
      </c>
      <c r="J30" s="21">
        <v>6000</v>
      </c>
      <c r="K30" s="1" t="s">
        <v>144</v>
      </c>
      <c r="N30" s="25">
        <v>23.26</v>
      </c>
      <c r="O30" s="1" t="s">
        <v>278</v>
      </c>
    </row>
    <row r="31" spans="1:15" x14ac:dyDescent="0.3">
      <c r="A31" t="s">
        <v>179</v>
      </c>
      <c r="B31" s="1" t="s">
        <v>180</v>
      </c>
      <c r="C31" s="1">
        <v>2019</v>
      </c>
      <c r="D31" s="1">
        <v>2018</v>
      </c>
      <c r="E31" s="1">
        <v>2001</v>
      </c>
      <c r="F31" s="1" t="s">
        <v>249</v>
      </c>
      <c r="G31" s="1" t="s">
        <v>283</v>
      </c>
      <c r="H31" s="1" t="s">
        <v>277</v>
      </c>
      <c r="I31" s="1" t="s">
        <v>340</v>
      </c>
      <c r="J31" s="21">
        <v>12000</v>
      </c>
      <c r="K31" s="1" t="s">
        <v>144</v>
      </c>
      <c r="N31" s="25">
        <v>3.11</v>
      </c>
      <c r="O31" s="1" t="s">
        <v>280</v>
      </c>
    </row>
    <row r="32" spans="1:15" x14ac:dyDescent="0.3">
      <c r="A32" t="s">
        <v>179</v>
      </c>
      <c r="B32" s="1" t="s">
        <v>180</v>
      </c>
      <c r="C32" s="1">
        <v>2019</v>
      </c>
      <c r="D32" s="1">
        <v>2018</v>
      </c>
      <c r="E32" s="1">
        <v>2001</v>
      </c>
      <c r="F32" s="1" t="s">
        <v>249</v>
      </c>
      <c r="G32" s="1" t="s">
        <v>283</v>
      </c>
      <c r="H32" s="1" t="s">
        <v>277</v>
      </c>
      <c r="I32" s="1" t="s">
        <v>340</v>
      </c>
      <c r="J32" s="21">
        <v>42000</v>
      </c>
      <c r="K32" s="1" t="s">
        <v>144</v>
      </c>
      <c r="N32" s="25">
        <v>2.7</v>
      </c>
      <c r="O32" s="1" t="s">
        <v>280</v>
      </c>
    </row>
    <row r="33" spans="1:15" x14ac:dyDescent="0.3">
      <c r="A33" t="s">
        <v>179</v>
      </c>
      <c r="B33" s="1" t="s">
        <v>180</v>
      </c>
      <c r="C33" s="1">
        <v>2019</v>
      </c>
      <c r="D33" s="1">
        <v>2018</v>
      </c>
      <c r="E33" s="1">
        <v>2001</v>
      </c>
      <c r="F33" s="1" t="s">
        <v>249</v>
      </c>
      <c r="G33" s="1" t="s">
        <v>283</v>
      </c>
      <c r="H33" s="1" t="s">
        <v>277</v>
      </c>
      <c r="I33" s="1" t="s">
        <v>340</v>
      </c>
      <c r="J33" s="21" t="s">
        <v>281</v>
      </c>
      <c r="K33" s="1" t="s">
        <v>144</v>
      </c>
      <c r="N33" s="25">
        <v>2.15</v>
      </c>
      <c r="O33" s="1" t="s">
        <v>280</v>
      </c>
    </row>
    <row r="34" spans="1:15" x14ac:dyDescent="0.3">
      <c r="A34" t="s">
        <v>179</v>
      </c>
      <c r="B34" s="1" t="s">
        <v>180</v>
      </c>
      <c r="C34" s="1">
        <v>2018</v>
      </c>
      <c r="D34" s="1">
        <v>2017</v>
      </c>
      <c r="E34" s="1">
        <v>2016</v>
      </c>
      <c r="F34" s="1" t="s">
        <v>224</v>
      </c>
      <c r="G34" s="1" t="s">
        <v>283</v>
      </c>
      <c r="H34" s="1" t="s">
        <v>277</v>
      </c>
      <c r="I34" s="1" t="s">
        <v>340</v>
      </c>
      <c r="J34" s="21">
        <v>6000</v>
      </c>
      <c r="K34" s="1" t="s">
        <v>144</v>
      </c>
      <c r="N34" s="25">
        <v>75</v>
      </c>
      <c r="O34" s="1" t="s">
        <v>278</v>
      </c>
    </row>
    <row r="35" spans="1:15" x14ac:dyDescent="0.3">
      <c r="A35" t="s">
        <v>179</v>
      </c>
      <c r="B35" s="1" t="s">
        <v>180</v>
      </c>
      <c r="C35" s="1">
        <v>2018</v>
      </c>
      <c r="D35" s="1">
        <v>2017</v>
      </c>
      <c r="E35" s="1">
        <v>2016</v>
      </c>
      <c r="F35" s="1" t="s">
        <v>224</v>
      </c>
      <c r="G35" s="1" t="s">
        <v>283</v>
      </c>
      <c r="H35" s="1" t="s">
        <v>277</v>
      </c>
      <c r="I35" s="1" t="s">
        <v>340</v>
      </c>
      <c r="J35" s="21" t="s">
        <v>279</v>
      </c>
      <c r="K35" s="1" t="s">
        <v>144</v>
      </c>
      <c r="N35" s="25">
        <v>12.5</v>
      </c>
      <c r="O35" s="1" t="s">
        <v>280</v>
      </c>
    </row>
    <row r="36" spans="1:15" x14ac:dyDescent="0.3">
      <c r="A36" t="s">
        <v>179</v>
      </c>
      <c r="B36" s="1" t="s">
        <v>180</v>
      </c>
      <c r="C36" s="1">
        <v>2018</v>
      </c>
      <c r="D36" s="1">
        <v>2017</v>
      </c>
      <c r="E36" s="1">
        <v>2007</v>
      </c>
      <c r="F36" s="1" t="s">
        <v>224</v>
      </c>
      <c r="G36" s="1" t="s">
        <v>283</v>
      </c>
      <c r="H36" s="1" t="s">
        <v>277</v>
      </c>
      <c r="I36" s="1" t="s">
        <v>340</v>
      </c>
      <c r="J36" s="21">
        <v>6000</v>
      </c>
      <c r="K36" s="1" t="s">
        <v>144</v>
      </c>
      <c r="N36" s="25">
        <v>46.27</v>
      </c>
      <c r="O36" s="1" t="s">
        <v>278</v>
      </c>
    </row>
    <row r="37" spans="1:15" x14ac:dyDescent="0.3">
      <c r="A37" t="s">
        <v>179</v>
      </c>
      <c r="B37" s="1" t="s">
        <v>180</v>
      </c>
      <c r="C37" s="1">
        <v>2018</v>
      </c>
      <c r="D37" s="1">
        <v>2017</v>
      </c>
      <c r="E37" s="1">
        <v>2007</v>
      </c>
      <c r="F37" s="1" t="s">
        <v>224</v>
      </c>
      <c r="G37" s="1" t="s">
        <v>283</v>
      </c>
      <c r="H37" s="1" t="s">
        <v>277</v>
      </c>
      <c r="I37" s="1" t="s">
        <v>340</v>
      </c>
      <c r="J37" s="21">
        <v>12000</v>
      </c>
      <c r="K37" s="1" t="s">
        <v>144</v>
      </c>
      <c r="N37" s="25">
        <v>6.25</v>
      </c>
      <c r="O37" s="1" t="s">
        <v>280</v>
      </c>
    </row>
    <row r="38" spans="1:15" x14ac:dyDescent="0.3">
      <c r="A38" t="s">
        <v>179</v>
      </c>
      <c r="B38" s="1" t="s">
        <v>180</v>
      </c>
      <c r="C38" s="1">
        <v>2018</v>
      </c>
      <c r="D38" s="1">
        <v>2017</v>
      </c>
      <c r="E38" s="1">
        <v>2007</v>
      </c>
      <c r="F38" s="1" t="s">
        <v>224</v>
      </c>
      <c r="G38" s="1" t="s">
        <v>283</v>
      </c>
      <c r="H38" s="1" t="s">
        <v>277</v>
      </c>
      <c r="I38" s="1" t="s">
        <v>340</v>
      </c>
      <c r="J38" s="21">
        <v>42000</v>
      </c>
      <c r="K38" s="1" t="s">
        <v>144</v>
      </c>
      <c r="N38" s="25">
        <v>5.41</v>
      </c>
      <c r="O38" s="1" t="s">
        <v>280</v>
      </c>
    </row>
    <row r="39" spans="1:15" x14ac:dyDescent="0.3">
      <c r="A39" t="s">
        <v>179</v>
      </c>
      <c r="B39" s="1" t="s">
        <v>180</v>
      </c>
      <c r="C39" s="1">
        <v>2018</v>
      </c>
      <c r="D39" s="1">
        <v>2017</v>
      </c>
      <c r="E39" s="1">
        <v>2007</v>
      </c>
      <c r="F39" s="1" t="s">
        <v>224</v>
      </c>
      <c r="G39" s="1" t="s">
        <v>283</v>
      </c>
      <c r="H39" s="1" t="s">
        <v>277</v>
      </c>
      <c r="I39" s="1" t="s">
        <v>340</v>
      </c>
      <c r="J39" s="21" t="s">
        <v>281</v>
      </c>
      <c r="K39" s="1" t="s">
        <v>144</v>
      </c>
      <c r="N39" s="25">
        <v>4.66</v>
      </c>
      <c r="O39" s="1" t="s">
        <v>280</v>
      </c>
    </row>
    <row r="40" spans="1:15" x14ac:dyDescent="0.3">
      <c r="A40" t="s">
        <v>179</v>
      </c>
      <c r="B40" s="1" t="s">
        <v>180</v>
      </c>
      <c r="C40" s="1">
        <v>2018</v>
      </c>
      <c r="D40" s="1">
        <v>2017</v>
      </c>
      <c r="E40" s="1">
        <v>2005</v>
      </c>
      <c r="F40" s="1" t="s">
        <v>224</v>
      </c>
      <c r="G40" s="1" t="s">
        <v>283</v>
      </c>
      <c r="H40" s="1" t="s">
        <v>277</v>
      </c>
      <c r="I40" s="1" t="s">
        <v>340</v>
      </c>
      <c r="J40" s="21">
        <v>6000</v>
      </c>
      <c r="K40" s="1" t="s">
        <v>144</v>
      </c>
      <c r="N40" s="25">
        <v>38.56</v>
      </c>
      <c r="O40" s="1" t="s">
        <v>278</v>
      </c>
    </row>
    <row r="41" spans="1:15" x14ac:dyDescent="0.3">
      <c r="A41" t="s">
        <v>179</v>
      </c>
      <c r="B41" s="1" t="s">
        <v>180</v>
      </c>
      <c r="C41" s="1">
        <v>2018</v>
      </c>
      <c r="D41" s="1">
        <v>2017</v>
      </c>
      <c r="E41" s="1">
        <v>2005</v>
      </c>
      <c r="F41" s="1" t="s">
        <v>224</v>
      </c>
      <c r="G41" s="1" t="s">
        <v>283</v>
      </c>
      <c r="H41" s="1" t="s">
        <v>277</v>
      </c>
      <c r="I41" s="1" t="s">
        <v>340</v>
      </c>
      <c r="J41" s="21">
        <v>12000</v>
      </c>
      <c r="K41" s="1" t="s">
        <v>144</v>
      </c>
      <c r="N41" s="25">
        <v>5.21</v>
      </c>
      <c r="O41" s="1" t="s">
        <v>280</v>
      </c>
    </row>
    <row r="42" spans="1:15" x14ac:dyDescent="0.3">
      <c r="A42" t="s">
        <v>179</v>
      </c>
      <c r="B42" s="1" t="s">
        <v>180</v>
      </c>
      <c r="C42" s="1">
        <v>2018</v>
      </c>
      <c r="D42" s="1">
        <v>2017</v>
      </c>
      <c r="E42" s="1">
        <v>2005</v>
      </c>
      <c r="F42" s="1" t="s">
        <v>224</v>
      </c>
      <c r="G42" s="1" t="s">
        <v>283</v>
      </c>
      <c r="H42" s="1" t="s">
        <v>277</v>
      </c>
      <c r="I42" s="1" t="s">
        <v>340</v>
      </c>
      <c r="J42" s="21">
        <v>42000</v>
      </c>
      <c r="K42" s="1" t="s">
        <v>144</v>
      </c>
      <c r="N42" s="25">
        <v>4.51</v>
      </c>
      <c r="O42" s="1" t="s">
        <v>280</v>
      </c>
    </row>
    <row r="43" spans="1:15" x14ac:dyDescent="0.3">
      <c r="A43" t="s">
        <v>179</v>
      </c>
      <c r="B43" s="1" t="s">
        <v>180</v>
      </c>
      <c r="C43" s="1">
        <v>2018</v>
      </c>
      <c r="D43" s="1">
        <v>2017</v>
      </c>
      <c r="E43" s="1">
        <v>2005</v>
      </c>
      <c r="F43" s="1" t="s">
        <v>224</v>
      </c>
      <c r="G43" s="1" t="s">
        <v>283</v>
      </c>
      <c r="H43" s="1" t="s">
        <v>277</v>
      </c>
      <c r="I43" s="1" t="s">
        <v>340</v>
      </c>
      <c r="J43" s="21" t="s">
        <v>281</v>
      </c>
      <c r="K43" s="1" t="s">
        <v>144</v>
      </c>
      <c r="N43" s="25">
        <v>3.88</v>
      </c>
      <c r="O43" s="1" t="s">
        <v>280</v>
      </c>
    </row>
    <row r="44" spans="1:15" x14ac:dyDescent="0.3">
      <c r="A44" t="s">
        <v>179</v>
      </c>
      <c r="B44" s="1" t="s">
        <v>180</v>
      </c>
      <c r="C44" s="1">
        <v>2018</v>
      </c>
      <c r="D44" s="1">
        <v>2017</v>
      </c>
      <c r="E44" s="1">
        <v>2001</v>
      </c>
      <c r="F44" s="1" t="s">
        <v>224</v>
      </c>
      <c r="G44" s="1" t="s">
        <v>283</v>
      </c>
      <c r="H44" s="1" t="s">
        <v>277</v>
      </c>
      <c r="I44" s="1" t="s">
        <v>340</v>
      </c>
      <c r="J44" s="21">
        <v>6000</v>
      </c>
      <c r="K44" s="1" t="s">
        <v>144</v>
      </c>
      <c r="N44" s="25">
        <v>34.43</v>
      </c>
      <c r="O44" s="1" t="s">
        <v>278</v>
      </c>
    </row>
    <row r="45" spans="1:15" x14ac:dyDescent="0.3">
      <c r="A45" t="s">
        <v>179</v>
      </c>
      <c r="B45" s="1" t="s">
        <v>180</v>
      </c>
      <c r="C45" s="1">
        <v>2018</v>
      </c>
      <c r="D45" s="1">
        <v>2017</v>
      </c>
      <c r="E45" s="1">
        <v>2001</v>
      </c>
      <c r="F45" s="1" t="s">
        <v>224</v>
      </c>
      <c r="G45" s="1" t="s">
        <v>283</v>
      </c>
      <c r="H45" s="1" t="s">
        <v>277</v>
      </c>
      <c r="I45" s="1" t="s">
        <v>340</v>
      </c>
      <c r="J45" s="21">
        <v>12000</v>
      </c>
      <c r="K45" s="1" t="s">
        <v>144</v>
      </c>
      <c r="N45" s="25">
        <v>4.6520000000000001</v>
      </c>
      <c r="O45" s="1" t="s">
        <v>280</v>
      </c>
    </row>
    <row r="46" spans="1:15" x14ac:dyDescent="0.3">
      <c r="A46" t="s">
        <v>179</v>
      </c>
      <c r="B46" s="1" t="s">
        <v>180</v>
      </c>
      <c r="C46" s="1">
        <v>2018</v>
      </c>
      <c r="D46" s="1">
        <v>2017</v>
      </c>
      <c r="E46" s="1">
        <v>2001</v>
      </c>
      <c r="F46" s="1" t="s">
        <v>224</v>
      </c>
      <c r="G46" s="1" t="s">
        <v>283</v>
      </c>
      <c r="H46" s="1" t="s">
        <v>277</v>
      </c>
      <c r="I46" s="1" t="s">
        <v>340</v>
      </c>
      <c r="J46" s="21">
        <v>42000</v>
      </c>
      <c r="K46" s="1" t="s">
        <v>144</v>
      </c>
      <c r="N46" s="25">
        <v>4.03</v>
      </c>
      <c r="O46" s="1" t="s">
        <v>280</v>
      </c>
    </row>
    <row r="47" spans="1:15" x14ac:dyDescent="0.3">
      <c r="A47" t="s">
        <v>179</v>
      </c>
      <c r="B47" s="1" t="s">
        <v>180</v>
      </c>
      <c r="C47" s="1">
        <v>2018</v>
      </c>
      <c r="D47" s="1">
        <v>2017</v>
      </c>
      <c r="E47" s="1">
        <v>2001</v>
      </c>
      <c r="F47" s="1" t="s">
        <v>224</v>
      </c>
      <c r="G47" s="1" t="s">
        <v>283</v>
      </c>
      <c r="H47" s="1" t="s">
        <v>277</v>
      </c>
      <c r="I47" s="1" t="s">
        <v>340</v>
      </c>
      <c r="J47" s="21" t="s">
        <v>281</v>
      </c>
      <c r="K47" s="1" t="s">
        <v>144</v>
      </c>
      <c r="N47" s="25">
        <v>3.46</v>
      </c>
      <c r="O47" s="1" t="s">
        <v>280</v>
      </c>
    </row>
    <row r="48" spans="1:15" x14ac:dyDescent="0.3">
      <c r="A48" t="s">
        <v>179</v>
      </c>
      <c r="B48" s="1" t="s">
        <v>180</v>
      </c>
      <c r="C48" s="1">
        <v>2018</v>
      </c>
      <c r="D48" s="1">
        <v>2017</v>
      </c>
      <c r="E48" s="1">
        <v>2018</v>
      </c>
      <c r="F48" s="1" t="s">
        <v>249</v>
      </c>
      <c r="G48" s="1" t="s">
        <v>283</v>
      </c>
      <c r="H48" s="1" t="s">
        <v>277</v>
      </c>
      <c r="I48" s="1" t="s">
        <v>340</v>
      </c>
      <c r="J48" s="21">
        <v>6000</v>
      </c>
      <c r="K48" s="1" t="s">
        <v>144</v>
      </c>
      <c r="N48" s="25">
        <v>47</v>
      </c>
      <c r="O48" s="1" t="s">
        <v>278</v>
      </c>
    </row>
    <row r="49" spans="1:15" x14ac:dyDescent="0.3">
      <c r="A49" t="s">
        <v>179</v>
      </c>
      <c r="B49" s="1" t="s">
        <v>180</v>
      </c>
      <c r="C49" s="1">
        <v>2018</v>
      </c>
      <c r="D49" s="1">
        <v>2017</v>
      </c>
      <c r="E49" s="1">
        <v>2018</v>
      </c>
      <c r="F49" s="1" t="s">
        <v>249</v>
      </c>
      <c r="G49" s="1" t="s">
        <v>283</v>
      </c>
      <c r="H49" s="1" t="s">
        <v>277</v>
      </c>
      <c r="I49" s="1" t="s">
        <v>340</v>
      </c>
      <c r="J49" s="21" t="s">
        <v>279</v>
      </c>
      <c r="K49" s="1" t="s">
        <v>144</v>
      </c>
      <c r="N49" s="25">
        <v>6.25</v>
      </c>
      <c r="O49" s="1" t="s">
        <v>280</v>
      </c>
    </row>
    <row r="50" spans="1:15" x14ac:dyDescent="0.3">
      <c r="A50" t="s">
        <v>179</v>
      </c>
      <c r="B50" s="1" t="s">
        <v>180</v>
      </c>
      <c r="C50" s="1">
        <v>2018</v>
      </c>
      <c r="D50" s="1">
        <v>2017</v>
      </c>
      <c r="E50" s="1">
        <v>2012</v>
      </c>
      <c r="F50" s="1" t="s">
        <v>249</v>
      </c>
      <c r="G50" s="1" t="s">
        <v>283</v>
      </c>
      <c r="H50" s="1" t="s">
        <v>277</v>
      </c>
      <c r="I50" s="1" t="s">
        <v>340</v>
      </c>
      <c r="J50" s="21">
        <v>6000</v>
      </c>
      <c r="K50" s="1" t="s">
        <v>144</v>
      </c>
      <c r="N50" s="25">
        <v>39.08</v>
      </c>
      <c r="O50" s="1" t="s">
        <v>278</v>
      </c>
    </row>
    <row r="51" spans="1:15" x14ac:dyDescent="0.3">
      <c r="A51" t="s">
        <v>179</v>
      </c>
      <c r="B51" s="1" t="s">
        <v>180</v>
      </c>
      <c r="C51" s="1">
        <v>2018</v>
      </c>
      <c r="D51" s="1">
        <v>2017</v>
      </c>
      <c r="E51" s="1">
        <v>2012</v>
      </c>
      <c r="F51" s="1" t="s">
        <v>249</v>
      </c>
      <c r="G51" s="1" t="s">
        <v>283</v>
      </c>
      <c r="H51" s="1" t="s">
        <v>277</v>
      </c>
      <c r="I51" s="1" t="s">
        <v>340</v>
      </c>
      <c r="J51" s="21">
        <v>12000</v>
      </c>
      <c r="K51" s="1" t="s">
        <v>144</v>
      </c>
      <c r="N51" s="25">
        <v>5.24</v>
      </c>
      <c r="O51" s="1" t="s">
        <v>280</v>
      </c>
    </row>
    <row r="52" spans="1:15" x14ac:dyDescent="0.3">
      <c r="A52" t="s">
        <v>179</v>
      </c>
      <c r="B52" s="1" t="s">
        <v>180</v>
      </c>
      <c r="C52" s="1">
        <v>2018</v>
      </c>
      <c r="D52" s="1">
        <v>2017</v>
      </c>
      <c r="E52" s="1">
        <v>2012</v>
      </c>
      <c r="F52" s="1" t="s">
        <v>249</v>
      </c>
      <c r="G52" s="1" t="s">
        <v>283</v>
      </c>
      <c r="H52" s="1" t="s">
        <v>277</v>
      </c>
      <c r="I52" s="1" t="s">
        <v>340</v>
      </c>
      <c r="J52" s="21">
        <v>42000</v>
      </c>
      <c r="K52" s="1" t="s">
        <v>144</v>
      </c>
      <c r="N52" s="25">
        <v>4.53</v>
      </c>
      <c r="O52" s="1" t="s">
        <v>280</v>
      </c>
    </row>
    <row r="53" spans="1:15" x14ac:dyDescent="0.3">
      <c r="A53" t="s">
        <v>179</v>
      </c>
      <c r="B53" s="1" t="s">
        <v>180</v>
      </c>
      <c r="C53" s="1">
        <v>2018</v>
      </c>
      <c r="D53" s="1">
        <v>2017</v>
      </c>
      <c r="E53" s="1">
        <v>2012</v>
      </c>
      <c r="F53" s="1" t="s">
        <v>249</v>
      </c>
      <c r="G53" s="1" t="s">
        <v>283</v>
      </c>
      <c r="H53" s="1" t="s">
        <v>277</v>
      </c>
      <c r="I53" s="1" t="s">
        <v>340</v>
      </c>
      <c r="J53" s="21" t="s">
        <v>281</v>
      </c>
      <c r="K53" s="1" t="s">
        <v>144</v>
      </c>
      <c r="N53" s="25">
        <v>3.62</v>
      </c>
      <c r="O53" s="1" t="s">
        <v>280</v>
      </c>
    </row>
    <row r="54" spans="1:15" x14ac:dyDescent="0.3">
      <c r="A54" t="s">
        <v>179</v>
      </c>
      <c r="B54" s="1" t="s">
        <v>180</v>
      </c>
      <c r="C54" s="1">
        <v>2018</v>
      </c>
      <c r="D54" s="1">
        <v>2017</v>
      </c>
      <c r="E54" s="1">
        <v>2007</v>
      </c>
      <c r="F54" s="1" t="s">
        <v>249</v>
      </c>
      <c r="G54" s="1" t="s">
        <v>283</v>
      </c>
      <c r="H54" s="1" t="s">
        <v>277</v>
      </c>
      <c r="I54" s="1" t="s">
        <v>340</v>
      </c>
      <c r="J54" s="21">
        <v>6000</v>
      </c>
      <c r="K54" s="1" t="s">
        <v>144</v>
      </c>
      <c r="N54" s="25">
        <v>31.26</v>
      </c>
      <c r="O54" s="1" t="s">
        <v>278</v>
      </c>
    </row>
    <row r="55" spans="1:15" x14ac:dyDescent="0.3">
      <c r="A55" t="s">
        <v>179</v>
      </c>
      <c r="B55" s="1" t="s">
        <v>180</v>
      </c>
      <c r="C55" s="1">
        <v>2018</v>
      </c>
      <c r="D55" s="1">
        <v>2017</v>
      </c>
      <c r="E55" s="1">
        <v>2007</v>
      </c>
      <c r="F55" s="1" t="s">
        <v>249</v>
      </c>
      <c r="G55" s="1" t="s">
        <v>283</v>
      </c>
      <c r="H55" s="1" t="s">
        <v>277</v>
      </c>
      <c r="I55" s="1" t="s">
        <v>340</v>
      </c>
      <c r="J55" s="21">
        <v>12000</v>
      </c>
      <c r="K55" s="1" t="s">
        <v>144</v>
      </c>
      <c r="N55" s="25">
        <v>4.1900000000000004</v>
      </c>
      <c r="O55" s="1" t="s">
        <v>280</v>
      </c>
    </row>
    <row r="56" spans="1:15" x14ac:dyDescent="0.3">
      <c r="A56" t="s">
        <v>179</v>
      </c>
      <c r="B56" s="1" t="s">
        <v>180</v>
      </c>
      <c r="C56" s="1">
        <v>2018</v>
      </c>
      <c r="D56" s="1">
        <v>2017</v>
      </c>
      <c r="E56" s="1">
        <v>2007</v>
      </c>
      <c r="F56" s="1" t="s">
        <v>249</v>
      </c>
      <c r="G56" s="1" t="s">
        <v>283</v>
      </c>
      <c r="H56" s="1" t="s">
        <v>277</v>
      </c>
      <c r="I56" s="1" t="s">
        <v>340</v>
      </c>
      <c r="J56" s="21">
        <v>42000</v>
      </c>
      <c r="K56" s="1" t="s">
        <v>144</v>
      </c>
      <c r="N56" s="25">
        <v>3.62</v>
      </c>
      <c r="O56" s="1" t="s">
        <v>280</v>
      </c>
    </row>
    <row r="57" spans="1:15" x14ac:dyDescent="0.3">
      <c r="A57" t="s">
        <v>179</v>
      </c>
      <c r="B57" s="1" t="s">
        <v>180</v>
      </c>
      <c r="C57" s="1">
        <v>2018</v>
      </c>
      <c r="D57" s="1">
        <v>2017</v>
      </c>
      <c r="E57" s="1">
        <v>2007</v>
      </c>
      <c r="F57" s="1" t="s">
        <v>249</v>
      </c>
      <c r="G57" s="1" t="s">
        <v>283</v>
      </c>
      <c r="H57" s="1" t="s">
        <v>277</v>
      </c>
      <c r="I57" s="1" t="s">
        <v>340</v>
      </c>
      <c r="J57" s="21" t="s">
        <v>281</v>
      </c>
      <c r="K57" s="1" t="s">
        <v>144</v>
      </c>
      <c r="N57" s="25">
        <v>2.89</v>
      </c>
      <c r="O57" s="1" t="s">
        <v>280</v>
      </c>
    </row>
    <row r="58" spans="1:15" x14ac:dyDescent="0.3">
      <c r="A58" t="s">
        <v>179</v>
      </c>
      <c r="B58" s="1" t="s">
        <v>180</v>
      </c>
      <c r="C58" s="1">
        <v>2018</v>
      </c>
      <c r="D58" s="1">
        <v>2017</v>
      </c>
      <c r="E58" s="1">
        <v>2005</v>
      </c>
      <c r="F58" s="1" t="s">
        <v>249</v>
      </c>
      <c r="G58" s="1" t="s">
        <v>283</v>
      </c>
      <c r="H58" s="1" t="s">
        <v>277</v>
      </c>
      <c r="I58" s="1" t="s">
        <v>340</v>
      </c>
      <c r="J58" s="21">
        <v>6000</v>
      </c>
      <c r="K58" s="1" t="s">
        <v>144</v>
      </c>
      <c r="N58" s="25">
        <v>26.05</v>
      </c>
      <c r="O58" s="1" t="s">
        <v>278</v>
      </c>
    </row>
    <row r="59" spans="1:15" x14ac:dyDescent="0.3">
      <c r="A59" t="s">
        <v>179</v>
      </c>
      <c r="B59" s="1" t="s">
        <v>180</v>
      </c>
      <c r="C59" s="1">
        <v>2018</v>
      </c>
      <c r="D59" s="1">
        <v>2017</v>
      </c>
      <c r="E59" s="1">
        <v>2005</v>
      </c>
      <c r="F59" s="1" t="s">
        <v>249</v>
      </c>
      <c r="G59" s="1" t="s">
        <v>283</v>
      </c>
      <c r="H59" s="1" t="s">
        <v>277</v>
      </c>
      <c r="I59" s="1" t="s">
        <v>340</v>
      </c>
      <c r="J59" s="21">
        <v>12000</v>
      </c>
      <c r="K59" s="1" t="s">
        <v>144</v>
      </c>
      <c r="N59" s="25">
        <v>3.49</v>
      </c>
      <c r="O59" s="1" t="s">
        <v>280</v>
      </c>
    </row>
    <row r="60" spans="1:15" x14ac:dyDescent="0.3">
      <c r="A60" t="s">
        <v>179</v>
      </c>
      <c r="B60" s="1" t="s">
        <v>180</v>
      </c>
      <c r="C60" s="1">
        <v>2018</v>
      </c>
      <c r="D60" s="1">
        <v>2017</v>
      </c>
      <c r="E60" s="1">
        <v>2005</v>
      </c>
      <c r="F60" s="1" t="s">
        <v>249</v>
      </c>
      <c r="G60" s="1" t="s">
        <v>283</v>
      </c>
      <c r="H60" s="1" t="s">
        <v>277</v>
      </c>
      <c r="I60" s="1" t="s">
        <v>340</v>
      </c>
      <c r="J60" s="21">
        <v>42000</v>
      </c>
      <c r="K60" s="1" t="s">
        <v>144</v>
      </c>
      <c r="N60" s="25">
        <v>3.02</v>
      </c>
      <c r="O60" s="1" t="s">
        <v>280</v>
      </c>
    </row>
    <row r="61" spans="1:15" x14ac:dyDescent="0.3">
      <c r="A61" t="s">
        <v>179</v>
      </c>
      <c r="B61" s="1" t="s">
        <v>180</v>
      </c>
      <c r="C61" s="1">
        <v>2018</v>
      </c>
      <c r="D61" s="1">
        <v>2017</v>
      </c>
      <c r="E61" s="1">
        <v>2005</v>
      </c>
      <c r="F61" s="1" t="s">
        <v>249</v>
      </c>
      <c r="G61" s="1" t="s">
        <v>283</v>
      </c>
      <c r="H61" s="1" t="s">
        <v>277</v>
      </c>
      <c r="I61" s="1" t="s">
        <v>340</v>
      </c>
      <c r="J61" s="21" t="s">
        <v>281</v>
      </c>
      <c r="K61" s="1" t="s">
        <v>144</v>
      </c>
      <c r="N61" s="25">
        <v>2.41</v>
      </c>
      <c r="O61" s="1" t="s">
        <v>280</v>
      </c>
    </row>
    <row r="62" spans="1:15" x14ac:dyDescent="0.3">
      <c r="A62" t="s">
        <v>179</v>
      </c>
      <c r="B62" s="1" t="s">
        <v>180</v>
      </c>
      <c r="C62" s="1">
        <v>2018</v>
      </c>
      <c r="D62" s="1">
        <v>2017</v>
      </c>
      <c r="E62" s="1">
        <v>2001</v>
      </c>
      <c r="F62" s="1" t="s">
        <v>249</v>
      </c>
      <c r="G62" s="1" t="s">
        <v>283</v>
      </c>
      <c r="H62" s="1" t="s">
        <v>277</v>
      </c>
      <c r="I62" s="1" t="s">
        <v>340</v>
      </c>
      <c r="J62" s="21">
        <v>6000</v>
      </c>
      <c r="K62" s="1" t="s">
        <v>144</v>
      </c>
      <c r="N62" s="25">
        <v>23.26</v>
      </c>
      <c r="O62" s="1" t="s">
        <v>278</v>
      </c>
    </row>
    <row r="63" spans="1:15" x14ac:dyDescent="0.3">
      <c r="A63" t="s">
        <v>179</v>
      </c>
      <c r="B63" s="1" t="s">
        <v>180</v>
      </c>
      <c r="C63" s="1">
        <v>2018</v>
      </c>
      <c r="D63" s="1">
        <v>2017</v>
      </c>
      <c r="E63" s="1">
        <v>2001</v>
      </c>
      <c r="F63" s="1" t="s">
        <v>249</v>
      </c>
      <c r="G63" s="1" t="s">
        <v>283</v>
      </c>
      <c r="H63" s="1" t="s">
        <v>277</v>
      </c>
      <c r="I63" s="1" t="s">
        <v>340</v>
      </c>
      <c r="J63" s="21">
        <v>12000</v>
      </c>
      <c r="K63" s="1" t="s">
        <v>144</v>
      </c>
      <c r="N63" s="25">
        <v>3.11</v>
      </c>
      <c r="O63" s="1" t="s">
        <v>280</v>
      </c>
    </row>
    <row r="64" spans="1:15" x14ac:dyDescent="0.3">
      <c r="A64" t="s">
        <v>179</v>
      </c>
      <c r="B64" s="1" t="s">
        <v>180</v>
      </c>
      <c r="C64" s="1">
        <v>2018</v>
      </c>
      <c r="D64" s="1">
        <v>2017</v>
      </c>
      <c r="E64" s="1">
        <v>2001</v>
      </c>
      <c r="F64" s="1" t="s">
        <v>249</v>
      </c>
      <c r="G64" s="1" t="s">
        <v>283</v>
      </c>
      <c r="H64" s="1" t="s">
        <v>277</v>
      </c>
      <c r="I64" s="1" t="s">
        <v>340</v>
      </c>
      <c r="J64" s="21">
        <v>42000</v>
      </c>
      <c r="K64" s="1" t="s">
        <v>144</v>
      </c>
      <c r="N64" s="25">
        <v>2.7</v>
      </c>
      <c r="O64" s="1" t="s">
        <v>280</v>
      </c>
    </row>
    <row r="65" spans="1:16" x14ac:dyDescent="0.3">
      <c r="A65" t="s">
        <v>179</v>
      </c>
      <c r="B65" s="1" t="s">
        <v>180</v>
      </c>
      <c r="C65" s="1">
        <v>2018</v>
      </c>
      <c r="D65" s="1">
        <v>2017</v>
      </c>
      <c r="E65" s="1">
        <v>2001</v>
      </c>
      <c r="F65" s="1" t="s">
        <v>249</v>
      </c>
      <c r="G65" s="1" t="s">
        <v>283</v>
      </c>
      <c r="H65" s="1" t="s">
        <v>277</v>
      </c>
      <c r="I65" s="1" t="s">
        <v>340</v>
      </c>
      <c r="J65" s="21" t="s">
        <v>281</v>
      </c>
      <c r="K65" s="1" t="s">
        <v>144</v>
      </c>
      <c r="N65" s="25">
        <v>2.15</v>
      </c>
      <c r="O65" s="1" t="s">
        <v>280</v>
      </c>
    </row>
    <row r="66" spans="1:16" x14ac:dyDescent="0.3">
      <c r="A66" t="s">
        <v>179</v>
      </c>
      <c r="B66" s="1" t="s">
        <v>180</v>
      </c>
      <c r="C66" s="1">
        <v>2017</v>
      </c>
      <c r="D66" s="1">
        <v>2016</v>
      </c>
      <c r="E66" s="1">
        <v>2016</v>
      </c>
      <c r="F66" s="1" t="s">
        <v>224</v>
      </c>
      <c r="G66" s="1" t="s">
        <v>283</v>
      </c>
      <c r="H66" s="1" t="s">
        <v>277</v>
      </c>
      <c r="I66" s="1" t="s">
        <v>340</v>
      </c>
      <c r="J66" s="21">
        <v>6000</v>
      </c>
      <c r="K66" s="1" t="s">
        <v>144</v>
      </c>
      <c r="N66" s="25">
        <v>75</v>
      </c>
      <c r="O66" s="1" t="s">
        <v>278</v>
      </c>
    </row>
    <row r="67" spans="1:16" x14ac:dyDescent="0.3">
      <c r="A67" t="s">
        <v>179</v>
      </c>
      <c r="B67" s="1" t="s">
        <v>180</v>
      </c>
      <c r="C67" s="1">
        <v>2017</v>
      </c>
      <c r="D67" s="1">
        <v>2016</v>
      </c>
      <c r="E67" s="1">
        <v>2016</v>
      </c>
      <c r="F67" s="1" t="s">
        <v>224</v>
      </c>
      <c r="G67" s="1" t="s">
        <v>283</v>
      </c>
      <c r="H67" s="1" t="s">
        <v>277</v>
      </c>
      <c r="I67" s="1" t="s">
        <v>340</v>
      </c>
      <c r="J67" s="21" t="s">
        <v>279</v>
      </c>
      <c r="K67" s="1" t="s">
        <v>144</v>
      </c>
      <c r="N67" s="25">
        <v>12.5</v>
      </c>
      <c r="O67" s="1" t="s">
        <v>280</v>
      </c>
    </row>
    <row r="68" spans="1:16" x14ac:dyDescent="0.3">
      <c r="A68" t="s">
        <v>179</v>
      </c>
      <c r="B68" s="1" t="s">
        <v>180</v>
      </c>
      <c r="C68" s="1">
        <v>2017</v>
      </c>
      <c r="D68" s="1">
        <v>2016</v>
      </c>
      <c r="E68" s="1">
        <v>2007</v>
      </c>
      <c r="F68" s="1" t="s">
        <v>224</v>
      </c>
      <c r="G68" s="1" t="s">
        <v>283</v>
      </c>
      <c r="H68" s="1" t="s">
        <v>277</v>
      </c>
      <c r="I68" s="1" t="s">
        <v>340</v>
      </c>
      <c r="J68" s="21">
        <v>6000</v>
      </c>
      <c r="K68" s="1" t="s">
        <v>144</v>
      </c>
      <c r="N68" s="25">
        <v>46.27</v>
      </c>
      <c r="O68" s="1" t="s">
        <v>278</v>
      </c>
    </row>
    <row r="69" spans="1:16" x14ac:dyDescent="0.3">
      <c r="A69" t="s">
        <v>179</v>
      </c>
      <c r="B69" s="1" t="s">
        <v>180</v>
      </c>
      <c r="C69" s="1">
        <v>2017</v>
      </c>
      <c r="D69" s="1">
        <v>2016</v>
      </c>
      <c r="E69" s="1">
        <v>2007</v>
      </c>
      <c r="F69" s="1" t="s">
        <v>224</v>
      </c>
      <c r="G69" s="1" t="s">
        <v>283</v>
      </c>
      <c r="H69" s="1" t="s">
        <v>277</v>
      </c>
      <c r="I69" s="1" t="s">
        <v>340</v>
      </c>
      <c r="J69" s="21">
        <v>12000</v>
      </c>
      <c r="K69" s="1" t="s">
        <v>144</v>
      </c>
      <c r="N69" s="25">
        <v>6.25</v>
      </c>
      <c r="O69" s="1" t="s">
        <v>280</v>
      </c>
    </row>
    <row r="70" spans="1:16" x14ac:dyDescent="0.3">
      <c r="A70" t="s">
        <v>179</v>
      </c>
      <c r="B70" s="1" t="s">
        <v>180</v>
      </c>
      <c r="C70" s="1">
        <v>2017</v>
      </c>
      <c r="D70" s="1">
        <v>2016</v>
      </c>
      <c r="E70" s="1">
        <v>2007</v>
      </c>
      <c r="F70" s="1" t="s">
        <v>224</v>
      </c>
      <c r="G70" s="1" t="s">
        <v>283</v>
      </c>
      <c r="H70" s="1" t="s">
        <v>277</v>
      </c>
      <c r="I70" s="1" t="s">
        <v>340</v>
      </c>
      <c r="J70" s="21">
        <v>42000</v>
      </c>
      <c r="K70" s="1" t="s">
        <v>144</v>
      </c>
      <c r="N70" s="25">
        <v>5.41</v>
      </c>
      <c r="O70" s="1" t="s">
        <v>280</v>
      </c>
    </row>
    <row r="71" spans="1:16" x14ac:dyDescent="0.3">
      <c r="A71" t="s">
        <v>179</v>
      </c>
      <c r="B71" s="1" t="s">
        <v>180</v>
      </c>
      <c r="C71" s="1">
        <v>2017</v>
      </c>
      <c r="D71" s="1">
        <v>2016</v>
      </c>
      <c r="E71" s="1">
        <v>2007</v>
      </c>
      <c r="F71" s="1" t="s">
        <v>224</v>
      </c>
      <c r="G71" s="1" t="s">
        <v>283</v>
      </c>
      <c r="H71" s="1" t="s">
        <v>277</v>
      </c>
      <c r="I71" s="1" t="s">
        <v>340</v>
      </c>
      <c r="J71" s="21" t="s">
        <v>281</v>
      </c>
      <c r="K71" s="1" t="s">
        <v>144</v>
      </c>
      <c r="N71" s="25">
        <v>4.66</v>
      </c>
      <c r="O71" s="1" t="s">
        <v>280</v>
      </c>
    </row>
    <row r="72" spans="1:16" x14ac:dyDescent="0.3">
      <c r="A72" t="s">
        <v>179</v>
      </c>
      <c r="B72" s="1" t="s">
        <v>180</v>
      </c>
      <c r="C72" s="1">
        <v>2017</v>
      </c>
      <c r="D72" s="1">
        <v>2016</v>
      </c>
      <c r="E72" s="1">
        <v>2005</v>
      </c>
      <c r="F72" s="1" t="s">
        <v>224</v>
      </c>
      <c r="G72" s="1" t="s">
        <v>283</v>
      </c>
      <c r="H72" s="1" t="s">
        <v>277</v>
      </c>
      <c r="I72" s="1" t="s">
        <v>340</v>
      </c>
      <c r="J72" s="21">
        <v>6000</v>
      </c>
      <c r="K72" s="1" t="s">
        <v>144</v>
      </c>
      <c r="N72" s="25">
        <v>38.56</v>
      </c>
      <c r="O72" s="1" t="s">
        <v>278</v>
      </c>
    </row>
    <row r="73" spans="1:16" x14ac:dyDescent="0.3">
      <c r="A73" t="s">
        <v>179</v>
      </c>
      <c r="B73" s="1" t="s">
        <v>180</v>
      </c>
      <c r="C73" s="1">
        <v>2017</v>
      </c>
      <c r="D73" s="1">
        <v>2016</v>
      </c>
      <c r="E73" s="1">
        <v>2005</v>
      </c>
      <c r="F73" s="1" t="s">
        <v>224</v>
      </c>
      <c r="G73" s="1" t="s">
        <v>283</v>
      </c>
      <c r="H73" s="1" t="s">
        <v>277</v>
      </c>
      <c r="I73" s="1" t="s">
        <v>340</v>
      </c>
      <c r="J73" s="21">
        <v>12000</v>
      </c>
      <c r="K73" s="1" t="s">
        <v>144</v>
      </c>
      <c r="N73" s="25">
        <v>5.21</v>
      </c>
      <c r="O73" s="1" t="s">
        <v>280</v>
      </c>
    </row>
    <row r="74" spans="1:16" x14ac:dyDescent="0.3">
      <c r="A74" t="s">
        <v>179</v>
      </c>
      <c r="B74" s="1" t="s">
        <v>180</v>
      </c>
      <c r="C74" s="1">
        <v>2017</v>
      </c>
      <c r="D74" s="1">
        <v>2016</v>
      </c>
      <c r="E74" s="1">
        <v>2005</v>
      </c>
      <c r="F74" s="1" t="s">
        <v>224</v>
      </c>
      <c r="G74" s="1" t="s">
        <v>283</v>
      </c>
      <c r="H74" s="1" t="s">
        <v>277</v>
      </c>
      <c r="I74" s="1" t="s">
        <v>340</v>
      </c>
      <c r="J74" s="21">
        <v>42000</v>
      </c>
      <c r="K74" s="1" t="s">
        <v>144</v>
      </c>
      <c r="N74" s="25">
        <v>4.51</v>
      </c>
      <c r="O74" s="1" t="s">
        <v>280</v>
      </c>
    </row>
    <row r="75" spans="1:16" x14ac:dyDescent="0.3">
      <c r="A75" t="s">
        <v>179</v>
      </c>
      <c r="B75" s="1" t="s">
        <v>180</v>
      </c>
      <c r="C75" s="1">
        <v>2017</v>
      </c>
      <c r="D75" s="1">
        <v>2016</v>
      </c>
      <c r="E75" s="1">
        <v>2005</v>
      </c>
      <c r="F75" s="1" t="s">
        <v>224</v>
      </c>
      <c r="G75" s="1" t="s">
        <v>283</v>
      </c>
      <c r="H75" s="1" t="s">
        <v>277</v>
      </c>
      <c r="I75" s="1" t="s">
        <v>340</v>
      </c>
      <c r="J75" s="21" t="s">
        <v>281</v>
      </c>
      <c r="K75" s="1" t="s">
        <v>144</v>
      </c>
      <c r="N75" s="25">
        <v>3.88</v>
      </c>
      <c r="O75" s="1" t="s">
        <v>280</v>
      </c>
    </row>
    <row r="76" spans="1:16" x14ac:dyDescent="0.3">
      <c r="A76" t="s">
        <v>179</v>
      </c>
      <c r="B76" s="1" t="s">
        <v>180</v>
      </c>
      <c r="C76" s="1">
        <v>2017</v>
      </c>
      <c r="D76" s="1">
        <v>2016</v>
      </c>
      <c r="E76" s="1">
        <v>2001</v>
      </c>
      <c r="F76" s="1" t="s">
        <v>224</v>
      </c>
      <c r="G76" s="1" t="s">
        <v>283</v>
      </c>
      <c r="H76" s="1" t="s">
        <v>277</v>
      </c>
      <c r="I76" s="1" t="s">
        <v>340</v>
      </c>
      <c r="J76" s="21">
        <v>6000</v>
      </c>
      <c r="K76" s="1" t="s">
        <v>144</v>
      </c>
      <c r="N76" s="25">
        <v>34.43</v>
      </c>
      <c r="O76" s="1" t="s">
        <v>278</v>
      </c>
    </row>
    <row r="77" spans="1:16" x14ac:dyDescent="0.3">
      <c r="A77" t="s">
        <v>179</v>
      </c>
      <c r="B77" s="1" t="s">
        <v>180</v>
      </c>
      <c r="C77" s="1">
        <v>2017</v>
      </c>
      <c r="D77" s="1">
        <v>2016</v>
      </c>
      <c r="E77" s="1">
        <v>2001</v>
      </c>
      <c r="F77" s="1" t="s">
        <v>224</v>
      </c>
      <c r="G77" s="1" t="s">
        <v>283</v>
      </c>
      <c r="H77" s="1" t="s">
        <v>277</v>
      </c>
      <c r="I77" s="1" t="s">
        <v>340</v>
      </c>
      <c r="J77" s="21">
        <v>12000</v>
      </c>
      <c r="K77" s="1" t="s">
        <v>144</v>
      </c>
      <c r="N77" s="25">
        <v>4.6520000000000001</v>
      </c>
      <c r="O77" s="1" t="s">
        <v>280</v>
      </c>
    </row>
    <row r="78" spans="1:16" x14ac:dyDescent="0.3">
      <c r="A78" t="s">
        <v>179</v>
      </c>
      <c r="B78" s="1" t="s">
        <v>180</v>
      </c>
      <c r="C78" s="1">
        <v>2017</v>
      </c>
      <c r="D78" s="1">
        <v>2016</v>
      </c>
      <c r="E78" s="1">
        <v>2001</v>
      </c>
      <c r="F78" s="1" t="s">
        <v>224</v>
      </c>
      <c r="G78" s="1" t="s">
        <v>283</v>
      </c>
      <c r="H78" s="1" t="s">
        <v>277</v>
      </c>
      <c r="I78" s="1" t="s">
        <v>340</v>
      </c>
      <c r="J78" s="21">
        <v>42000</v>
      </c>
      <c r="K78" s="1" t="s">
        <v>144</v>
      </c>
      <c r="N78" s="25">
        <v>4.03</v>
      </c>
      <c r="O78" s="1" t="s">
        <v>280</v>
      </c>
    </row>
    <row r="79" spans="1:16" x14ac:dyDescent="0.3">
      <c r="A79" t="s">
        <v>179</v>
      </c>
      <c r="B79" s="1" t="s">
        <v>180</v>
      </c>
      <c r="C79" s="1">
        <v>2017</v>
      </c>
      <c r="D79" s="1">
        <v>2016</v>
      </c>
      <c r="E79" s="1">
        <v>2001</v>
      </c>
      <c r="F79" s="1" t="s">
        <v>224</v>
      </c>
      <c r="G79" s="1" t="s">
        <v>283</v>
      </c>
      <c r="H79" s="1" t="s">
        <v>277</v>
      </c>
      <c r="I79" s="1" t="s">
        <v>340</v>
      </c>
      <c r="J79" s="21" t="s">
        <v>281</v>
      </c>
      <c r="K79" s="1" t="s">
        <v>144</v>
      </c>
      <c r="N79" s="25">
        <v>3.46</v>
      </c>
      <c r="O79" s="1" t="s">
        <v>280</v>
      </c>
    </row>
    <row r="80" spans="1:16" x14ac:dyDescent="0.3">
      <c r="A80" t="s">
        <v>179</v>
      </c>
      <c r="B80" s="1" t="s">
        <v>180</v>
      </c>
      <c r="C80" s="1">
        <v>2017</v>
      </c>
      <c r="D80" s="1">
        <v>2016</v>
      </c>
      <c r="E80" s="1">
        <v>2018</v>
      </c>
      <c r="F80" s="1" t="s">
        <v>249</v>
      </c>
      <c r="G80" s="1" t="s">
        <v>283</v>
      </c>
      <c r="H80" s="1" t="s">
        <v>277</v>
      </c>
      <c r="I80" s="1" t="s">
        <v>340</v>
      </c>
      <c r="J80" s="21">
        <v>6000</v>
      </c>
      <c r="K80" s="1" t="s">
        <v>144</v>
      </c>
      <c r="N80" s="25">
        <v>47</v>
      </c>
      <c r="O80" s="1" t="s">
        <v>278</v>
      </c>
      <c r="P80" s="1" t="s">
        <v>284</v>
      </c>
    </row>
    <row r="81" spans="1:15" x14ac:dyDescent="0.3">
      <c r="A81" t="s">
        <v>179</v>
      </c>
      <c r="B81" s="1" t="s">
        <v>180</v>
      </c>
      <c r="C81" s="1">
        <v>2017</v>
      </c>
      <c r="D81" s="1">
        <v>2016</v>
      </c>
      <c r="E81" s="1">
        <v>2018</v>
      </c>
      <c r="F81" s="1" t="s">
        <v>249</v>
      </c>
      <c r="G81" s="1" t="s">
        <v>283</v>
      </c>
      <c r="H81" s="1" t="s">
        <v>277</v>
      </c>
      <c r="I81" s="1" t="s">
        <v>340</v>
      </c>
      <c r="J81" s="21" t="s">
        <v>279</v>
      </c>
      <c r="K81" s="1" t="s">
        <v>144</v>
      </c>
      <c r="N81" s="25">
        <v>6.25</v>
      </c>
      <c r="O81" s="1" t="s">
        <v>280</v>
      </c>
    </row>
    <row r="82" spans="1:15" x14ac:dyDescent="0.3">
      <c r="A82" t="s">
        <v>179</v>
      </c>
      <c r="B82" s="1" t="s">
        <v>180</v>
      </c>
      <c r="C82" s="1">
        <v>2017</v>
      </c>
      <c r="D82" s="1">
        <v>2016</v>
      </c>
      <c r="E82" s="1">
        <v>2012</v>
      </c>
      <c r="F82" s="1" t="s">
        <v>249</v>
      </c>
      <c r="G82" s="1" t="s">
        <v>283</v>
      </c>
      <c r="H82" s="1" t="s">
        <v>277</v>
      </c>
      <c r="I82" s="1" t="s">
        <v>340</v>
      </c>
      <c r="J82" s="21">
        <v>6000</v>
      </c>
      <c r="K82" s="1" t="s">
        <v>144</v>
      </c>
      <c r="N82" s="25">
        <v>39.08</v>
      </c>
      <c r="O82" s="1" t="s">
        <v>278</v>
      </c>
    </row>
    <row r="83" spans="1:15" x14ac:dyDescent="0.3">
      <c r="A83" t="s">
        <v>179</v>
      </c>
      <c r="B83" s="1" t="s">
        <v>180</v>
      </c>
      <c r="C83" s="1">
        <v>2017</v>
      </c>
      <c r="D83" s="1">
        <v>2016</v>
      </c>
      <c r="E83" s="1">
        <v>2012</v>
      </c>
      <c r="F83" s="1" t="s">
        <v>249</v>
      </c>
      <c r="G83" s="1" t="s">
        <v>283</v>
      </c>
      <c r="H83" s="1" t="s">
        <v>277</v>
      </c>
      <c r="I83" s="1" t="s">
        <v>340</v>
      </c>
      <c r="J83" s="21">
        <v>12000</v>
      </c>
      <c r="K83" s="1" t="s">
        <v>144</v>
      </c>
      <c r="N83" s="25">
        <v>5.24</v>
      </c>
      <c r="O83" s="1" t="s">
        <v>280</v>
      </c>
    </row>
    <row r="84" spans="1:15" x14ac:dyDescent="0.3">
      <c r="A84" t="s">
        <v>179</v>
      </c>
      <c r="B84" s="1" t="s">
        <v>180</v>
      </c>
      <c r="C84" s="1">
        <v>2017</v>
      </c>
      <c r="D84" s="1">
        <v>2016</v>
      </c>
      <c r="E84" s="1">
        <v>2012</v>
      </c>
      <c r="F84" s="1" t="s">
        <v>249</v>
      </c>
      <c r="G84" s="1" t="s">
        <v>283</v>
      </c>
      <c r="H84" s="1" t="s">
        <v>277</v>
      </c>
      <c r="I84" s="1" t="s">
        <v>340</v>
      </c>
      <c r="J84" s="21">
        <v>42000</v>
      </c>
      <c r="K84" s="1" t="s">
        <v>144</v>
      </c>
      <c r="N84" s="25">
        <v>4.53</v>
      </c>
      <c r="O84" s="1" t="s">
        <v>280</v>
      </c>
    </row>
    <row r="85" spans="1:15" x14ac:dyDescent="0.3">
      <c r="A85" t="s">
        <v>179</v>
      </c>
      <c r="B85" s="1" t="s">
        <v>180</v>
      </c>
      <c r="C85" s="1">
        <v>2017</v>
      </c>
      <c r="D85" s="1">
        <v>2016</v>
      </c>
      <c r="E85" s="1">
        <v>2012</v>
      </c>
      <c r="F85" s="1" t="s">
        <v>249</v>
      </c>
      <c r="G85" s="1" t="s">
        <v>283</v>
      </c>
      <c r="H85" s="1" t="s">
        <v>277</v>
      </c>
      <c r="I85" s="1" t="s">
        <v>340</v>
      </c>
      <c r="J85" s="21" t="s">
        <v>281</v>
      </c>
      <c r="K85" s="1" t="s">
        <v>144</v>
      </c>
      <c r="N85" s="25">
        <v>3.62</v>
      </c>
      <c r="O85" s="1" t="s">
        <v>280</v>
      </c>
    </row>
    <row r="86" spans="1:15" x14ac:dyDescent="0.3">
      <c r="A86" t="s">
        <v>179</v>
      </c>
      <c r="B86" s="1" t="s">
        <v>180</v>
      </c>
      <c r="C86" s="1">
        <v>2017</v>
      </c>
      <c r="D86" s="1">
        <v>2016</v>
      </c>
      <c r="E86" s="1">
        <v>2007</v>
      </c>
      <c r="F86" s="1" t="s">
        <v>249</v>
      </c>
      <c r="G86" s="1" t="s">
        <v>283</v>
      </c>
      <c r="H86" s="1" t="s">
        <v>277</v>
      </c>
      <c r="I86" s="1" t="s">
        <v>340</v>
      </c>
      <c r="J86" s="21">
        <v>6000</v>
      </c>
      <c r="K86" s="1" t="s">
        <v>144</v>
      </c>
      <c r="N86" s="25">
        <v>31.26</v>
      </c>
      <c r="O86" s="1" t="s">
        <v>278</v>
      </c>
    </row>
    <row r="87" spans="1:15" x14ac:dyDescent="0.3">
      <c r="A87" t="s">
        <v>179</v>
      </c>
      <c r="B87" s="1" t="s">
        <v>180</v>
      </c>
      <c r="C87" s="1">
        <v>2017</v>
      </c>
      <c r="D87" s="1">
        <v>2016</v>
      </c>
      <c r="E87" s="1">
        <v>2007</v>
      </c>
      <c r="F87" s="1" t="s">
        <v>249</v>
      </c>
      <c r="G87" s="1" t="s">
        <v>283</v>
      </c>
      <c r="H87" s="1" t="s">
        <v>277</v>
      </c>
      <c r="I87" s="1" t="s">
        <v>340</v>
      </c>
      <c r="J87" s="21">
        <v>12000</v>
      </c>
      <c r="K87" s="1" t="s">
        <v>144</v>
      </c>
      <c r="N87" s="25">
        <v>4.1900000000000004</v>
      </c>
      <c r="O87" s="1" t="s">
        <v>280</v>
      </c>
    </row>
    <row r="88" spans="1:15" x14ac:dyDescent="0.3">
      <c r="A88" t="s">
        <v>179</v>
      </c>
      <c r="B88" s="1" t="s">
        <v>180</v>
      </c>
      <c r="C88" s="1">
        <v>2017</v>
      </c>
      <c r="D88" s="1">
        <v>2016</v>
      </c>
      <c r="E88" s="1">
        <v>2007</v>
      </c>
      <c r="F88" s="1" t="s">
        <v>249</v>
      </c>
      <c r="G88" s="1" t="s">
        <v>283</v>
      </c>
      <c r="H88" s="1" t="s">
        <v>277</v>
      </c>
      <c r="I88" s="1" t="s">
        <v>340</v>
      </c>
      <c r="J88" s="21">
        <v>42000</v>
      </c>
      <c r="K88" s="1" t="s">
        <v>144</v>
      </c>
      <c r="N88" s="25">
        <v>3.62</v>
      </c>
      <c r="O88" s="1" t="s">
        <v>280</v>
      </c>
    </row>
    <row r="89" spans="1:15" x14ac:dyDescent="0.3">
      <c r="A89" t="s">
        <v>179</v>
      </c>
      <c r="B89" s="1" t="s">
        <v>180</v>
      </c>
      <c r="C89" s="1">
        <v>2017</v>
      </c>
      <c r="D89" s="1">
        <v>2016</v>
      </c>
      <c r="E89" s="1">
        <v>2007</v>
      </c>
      <c r="F89" s="1" t="s">
        <v>249</v>
      </c>
      <c r="G89" s="1" t="s">
        <v>283</v>
      </c>
      <c r="H89" s="1" t="s">
        <v>277</v>
      </c>
      <c r="I89" s="1" t="s">
        <v>340</v>
      </c>
      <c r="J89" s="21" t="s">
        <v>281</v>
      </c>
      <c r="K89" s="1" t="s">
        <v>144</v>
      </c>
      <c r="N89" s="25">
        <v>2.89</v>
      </c>
      <c r="O89" s="1" t="s">
        <v>280</v>
      </c>
    </row>
    <row r="90" spans="1:15" x14ac:dyDescent="0.3">
      <c r="A90" t="s">
        <v>179</v>
      </c>
      <c r="B90" s="1" t="s">
        <v>180</v>
      </c>
      <c r="C90" s="1">
        <v>2017</v>
      </c>
      <c r="D90" s="1">
        <v>2016</v>
      </c>
      <c r="E90" s="1">
        <v>2005</v>
      </c>
      <c r="F90" s="1" t="s">
        <v>249</v>
      </c>
      <c r="G90" s="1" t="s">
        <v>283</v>
      </c>
      <c r="H90" s="1" t="s">
        <v>277</v>
      </c>
      <c r="I90" s="1" t="s">
        <v>340</v>
      </c>
      <c r="J90" s="21">
        <v>6000</v>
      </c>
      <c r="K90" s="1" t="s">
        <v>144</v>
      </c>
      <c r="N90" s="25">
        <v>26.05</v>
      </c>
      <c r="O90" s="1" t="s">
        <v>278</v>
      </c>
    </row>
    <row r="91" spans="1:15" x14ac:dyDescent="0.3">
      <c r="A91" t="s">
        <v>179</v>
      </c>
      <c r="B91" s="1" t="s">
        <v>180</v>
      </c>
      <c r="C91" s="1">
        <v>2017</v>
      </c>
      <c r="D91" s="1">
        <v>2016</v>
      </c>
      <c r="E91" s="1">
        <v>2005</v>
      </c>
      <c r="F91" s="1" t="s">
        <v>249</v>
      </c>
      <c r="G91" s="1" t="s">
        <v>283</v>
      </c>
      <c r="H91" s="1" t="s">
        <v>277</v>
      </c>
      <c r="I91" s="1" t="s">
        <v>340</v>
      </c>
      <c r="J91" s="21">
        <v>12000</v>
      </c>
      <c r="K91" s="1" t="s">
        <v>144</v>
      </c>
      <c r="N91" s="25">
        <v>3.49</v>
      </c>
      <c r="O91" s="1" t="s">
        <v>280</v>
      </c>
    </row>
    <row r="92" spans="1:15" x14ac:dyDescent="0.3">
      <c r="A92" t="s">
        <v>179</v>
      </c>
      <c r="B92" s="1" t="s">
        <v>180</v>
      </c>
      <c r="C92" s="1">
        <v>2017</v>
      </c>
      <c r="D92" s="1">
        <v>2016</v>
      </c>
      <c r="E92" s="1">
        <v>2005</v>
      </c>
      <c r="F92" s="1" t="s">
        <v>249</v>
      </c>
      <c r="G92" s="1" t="s">
        <v>283</v>
      </c>
      <c r="H92" s="1" t="s">
        <v>277</v>
      </c>
      <c r="I92" s="1" t="s">
        <v>340</v>
      </c>
      <c r="J92" s="21">
        <v>42000</v>
      </c>
      <c r="K92" s="1" t="s">
        <v>144</v>
      </c>
      <c r="N92" s="25">
        <v>3.02</v>
      </c>
      <c r="O92" s="1" t="s">
        <v>280</v>
      </c>
    </row>
    <row r="93" spans="1:15" x14ac:dyDescent="0.3">
      <c r="A93" t="s">
        <v>179</v>
      </c>
      <c r="B93" s="1" t="s">
        <v>180</v>
      </c>
      <c r="C93" s="1">
        <v>2017</v>
      </c>
      <c r="D93" s="1">
        <v>2016</v>
      </c>
      <c r="E93" s="1">
        <v>2005</v>
      </c>
      <c r="F93" s="1" t="s">
        <v>249</v>
      </c>
      <c r="G93" s="1" t="s">
        <v>283</v>
      </c>
      <c r="H93" s="1" t="s">
        <v>277</v>
      </c>
      <c r="I93" s="1" t="s">
        <v>340</v>
      </c>
      <c r="J93" s="21" t="s">
        <v>281</v>
      </c>
      <c r="K93" s="1" t="s">
        <v>144</v>
      </c>
      <c r="N93" s="25">
        <v>2.41</v>
      </c>
      <c r="O93" s="1" t="s">
        <v>280</v>
      </c>
    </row>
    <row r="94" spans="1:15" x14ac:dyDescent="0.3">
      <c r="A94" t="s">
        <v>179</v>
      </c>
      <c r="B94" s="1" t="s">
        <v>180</v>
      </c>
      <c r="C94" s="1">
        <v>2017</v>
      </c>
      <c r="D94" s="1">
        <v>2016</v>
      </c>
      <c r="E94" s="1">
        <v>2001</v>
      </c>
      <c r="F94" s="1" t="s">
        <v>249</v>
      </c>
      <c r="G94" s="1" t="s">
        <v>283</v>
      </c>
      <c r="H94" s="1" t="s">
        <v>277</v>
      </c>
      <c r="I94" s="1" t="s">
        <v>340</v>
      </c>
      <c r="J94" s="21">
        <v>6000</v>
      </c>
      <c r="K94" s="1" t="s">
        <v>144</v>
      </c>
      <c r="N94" s="25">
        <v>23.26</v>
      </c>
      <c r="O94" s="1" t="s">
        <v>278</v>
      </c>
    </row>
    <row r="95" spans="1:15" x14ac:dyDescent="0.3">
      <c r="A95" t="s">
        <v>179</v>
      </c>
      <c r="B95" s="1" t="s">
        <v>180</v>
      </c>
      <c r="C95" s="1">
        <v>2017</v>
      </c>
      <c r="D95" s="1">
        <v>2016</v>
      </c>
      <c r="E95" s="1">
        <v>2001</v>
      </c>
      <c r="F95" s="1" t="s">
        <v>249</v>
      </c>
      <c r="G95" s="1" t="s">
        <v>283</v>
      </c>
      <c r="H95" s="1" t="s">
        <v>277</v>
      </c>
      <c r="I95" s="1" t="s">
        <v>340</v>
      </c>
      <c r="J95" s="21">
        <v>12000</v>
      </c>
      <c r="K95" s="1" t="s">
        <v>144</v>
      </c>
      <c r="N95" s="25">
        <v>3.11</v>
      </c>
      <c r="O95" s="1" t="s">
        <v>280</v>
      </c>
    </row>
    <row r="96" spans="1:15" x14ac:dyDescent="0.3">
      <c r="A96" t="s">
        <v>179</v>
      </c>
      <c r="B96" s="1" t="s">
        <v>180</v>
      </c>
      <c r="C96" s="1">
        <v>2017</v>
      </c>
      <c r="D96" s="1">
        <v>2016</v>
      </c>
      <c r="E96" s="1">
        <v>2001</v>
      </c>
      <c r="F96" s="1" t="s">
        <v>249</v>
      </c>
      <c r="G96" s="1" t="s">
        <v>283</v>
      </c>
      <c r="H96" s="1" t="s">
        <v>277</v>
      </c>
      <c r="I96" s="1" t="s">
        <v>340</v>
      </c>
      <c r="J96" s="21">
        <v>42000</v>
      </c>
      <c r="K96" s="1" t="s">
        <v>144</v>
      </c>
      <c r="N96" s="25">
        <v>2.7</v>
      </c>
      <c r="O96" s="1" t="s">
        <v>280</v>
      </c>
    </row>
    <row r="97" spans="1:15" x14ac:dyDescent="0.3">
      <c r="A97" t="s">
        <v>179</v>
      </c>
      <c r="B97" s="1" t="s">
        <v>180</v>
      </c>
      <c r="C97" s="1">
        <v>2017</v>
      </c>
      <c r="D97" s="1">
        <v>2016</v>
      </c>
      <c r="E97" s="1">
        <v>2001</v>
      </c>
      <c r="F97" s="1" t="s">
        <v>249</v>
      </c>
      <c r="G97" s="1" t="s">
        <v>283</v>
      </c>
      <c r="H97" s="1" t="s">
        <v>277</v>
      </c>
      <c r="I97" s="1" t="s">
        <v>340</v>
      </c>
      <c r="J97" s="21" t="s">
        <v>281</v>
      </c>
      <c r="K97" s="1" t="s">
        <v>144</v>
      </c>
      <c r="N97" s="25">
        <v>2.15</v>
      </c>
      <c r="O97" s="1" t="s">
        <v>280</v>
      </c>
    </row>
    <row r="98" spans="1:15" x14ac:dyDescent="0.3">
      <c r="A98" t="s">
        <v>179</v>
      </c>
      <c r="B98" s="1" t="s">
        <v>180</v>
      </c>
      <c r="C98" s="1">
        <v>2003</v>
      </c>
      <c r="D98" s="1">
        <v>2003</v>
      </c>
      <c r="F98" s="1" t="s">
        <v>224</v>
      </c>
      <c r="G98" s="1" t="s">
        <v>283</v>
      </c>
      <c r="H98" s="1" t="s">
        <v>277</v>
      </c>
      <c r="I98" s="1" t="s">
        <v>340</v>
      </c>
      <c r="J98" s="13">
        <v>6000</v>
      </c>
      <c r="K98" s="1" t="s">
        <v>144</v>
      </c>
      <c r="M98" s="1" t="s">
        <v>402</v>
      </c>
      <c r="N98" s="1">
        <v>34.43</v>
      </c>
      <c r="O98" s="1" t="s">
        <v>278</v>
      </c>
    </row>
    <row r="99" spans="1:15" x14ac:dyDescent="0.3">
      <c r="A99" t="s">
        <v>179</v>
      </c>
      <c r="B99" s="1" t="s">
        <v>180</v>
      </c>
      <c r="C99" s="1">
        <v>2003</v>
      </c>
      <c r="D99" s="1">
        <v>2003</v>
      </c>
      <c r="F99" s="1" t="s">
        <v>224</v>
      </c>
      <c r="G99" s="1" t="s">
        <v>283</v>
      </c>
      <c r="H99" s="1" t="s">
        <v>277</v>
      </c>
      <c r="I99" s="1" t="s">
        <v>340</v>
      </c>
      <c r="J99" s="1">
        <v>12000</v>
      </c>
      <c r="K99" s="1" t="s">
        <v>144</v>
      </c>
      <c r="M99" s="1" t="s">
        <v>402</v>
      </c>
      <c r="N99" s="1">
        <v>4.6520000000000001</v>
      </c>
      <c r="O99" s="1" t="s">
        <v>280</v>
      </c>
    </row>
    <row r="100" spans="1:15" x14ac:dyDescent="0.3">
      <c r="A100" t="s">
        <v>179</v>
      </c>
      <c r="B100" s="1" t="s">
        <v>180</v>
      </c>
      <c r="C100" s="1">
        <v>2003</v>
      </c>
      <c r="D100" s="1">
        <v>2003</v>
      </c>
      <c r="F100" s="1" t="s">
        <v>224</v>
      </c>
      <c r="G100" s="1" t="s">
        <v>283</v>
      </c>
      <c r="H100" s="1" t="s">
        <v>277</v>
      </c>
      <c r="I100" s="1" t="s">
        <v>340</v>
      </c>
      <c r="J100" s="1">
        <v>42000</v>
      </c>
      <c r="K100" s="1" t="s">
        <v>144</v>
      </c>
      <c r="M100" s="1" t="s">
        <v>402</v>
      </c>
      <c r="N100" s="1">
        <v>4.03</v>
      </c>
      <c r="O100" s="1" t="s">
        <v>280</v>
      </c>
    </row>
    <row r="101" spans="1:15" x14ac:dyDescent="0.3">
      <c r="A101" t="s">
        <v>179</v>
      </c>
      <c r="B101" s="1" t="s">
        <v>180</v>
      </c>
      <c r="C101" s="1">
        <v>2003</v>
      </c>
      <c r="D101" s="1">
        <v>2003</v>
      </c>
      <c r="F101" s="1" t="s">
        <v>224</v>
      </c>
      <c r="G101" s="1" t="s">
        <v>283</v>
      </c>
      <c r="H101" s="1" t="s">
        <v>277</v>
      </c>
      <c r="I101" s="1" t="s">
        <v>340</v>
      </c>
      <c r="J101" s="1" t="s">
        <v>281</v>
      </c>
      <c r="K101" s="1" t="s">
        <v>144</v>
      </c>
      <c r="M101" s="1" t="s">
        <v>402</v>
      </c>
      <c r="N101" s="1">
        <v>3.46</v>
      </c>
      <c r="O101" s="1" t="s">
        <v>280</v>
      </c>
    </row>
    <row r="102" spans="1:15" x14ac:dyDescent="0.3">
      <c r="A102" t="s">
        <v>179</v>
      </c>
      <c r="B102" s="1" t="s">
        <v>180</v>
      </c>
      <c r="C102" s="1">
        <v>2003</v>
      </c>
      <c r="D102" s="1">
        <v>2003</v>
      </c>
      <c r="F102" s="1" t="s">
        <v>224</v>
      </c>
      <c r="G102" s="1" t="s">
        <v>283</v>
      </c>
      <c r="H102" s="1" t="s">
        <v>277</v>
      </c>
      <c r="I102" s="1" t="s">
        <v>340</v>
      </c>
      <c r="J102" s="13">
        <v>6000</v>
      </c>
      <c r="K102" s="1" t="s">
        <v>144</v>
      </c>
      <c r="M102" s="1" t="s">
        <v>403</v>
      </c>
      <c r="N102" s="1">
        <v>49.69</v>
      </c>
      <c r="O102" s="1" t="s">
        <v>278</v>
      </c>
    </row>
    <row r="103" spans="1:15" x14ac:dyDescent="0.3">
      <c r="A103" t="s">
        <v>179</v>
      </c>
      <c r="B103" s="1" t="s">
        <v>180</v>
      </c>
      <c r="C103" s="1">
        <v>2003</v>
      </c>
      <c r="D103" s="1">
        <v>2003</v>
      </c>
      <c r="F103" s="1" t="s">
        <v>224</v>
      </c>
      <c r="G103" s="1" t="s">
        <v>283</v>
      </c>
      <c r="H103" s="1" t="s">
        <v>277</v>
      </c>
      <c r="I103" s="1" t="s">
        <v>340</v>
      </c>
      <c r="J103" s="1">
        <v>12000</v>
      </c>
      <c r="K103" s="1" t="s">
        <v>144</v>
      </c>
      <c r="M103" s="1" t="s">
        <v>403</v>
      </c>
      <c r="N103" s="1">
        <v>4.6500000000000004</v>
      </c>
      <c r="O103" s="1" t="s">
        <v>280</v>
      </c>
    </row>
    <row r="104" spans="1:15" x14ac:dyDescent="0.3">
      <c r="A104" t="s">
        <v>179</v>
      </c>
      <c r="B104" s="1" t="s">
        <v>180</v>
      </c>
      <c r="C104" s="1">
        <v>2003</v>
      </c>
      <c r="D104" s="1">
        <v>2003</v>
      </c>
      <c r="F104" s="1" t="s">
        <v>224</v>
      </c>
      <c r="G104" s="1" t="s">
        <v>283</v>
      </c>
      <c r="H104" s="1" t="s">
        <v>277</v>
      </c>
      <c r="I104" s="1" t="s">
        <v>340</v>
      </c>
      <c r="J104" s="1">
        <v>42000</v>
      </c>
      <c r="K104" s="1" t="s">
        <v>144</v>
      </c>
      <c r="M104" s="1" t="s">
        <v>403</v>
      </c>
      <c r="N104" s="1">
        <v>4.03</v>
      </c>
      <c r="O104" s="1" t="s">
        <v>280</v>
      </c>
    </row>
    <row r="105" spans="1:15" x14ac:dyDescent="0.3">
      <c r="A105" t="s">
        <v>179</v>
      </c>
      <c r="B105" s="1" t="s">
        <v>180</v>
      </c>
      <c r="C105" s="1">
        <v>2003</v>
      </c>
      <c r="D105" s="1">
        <v>2003</v>
      </c>
      <c r="F105" s="1" t="s">
        <v>224</v>
      </c>
      <c r="G105" s="1" t="s">
        <v>283</v>
      </c>
      <c r="H105" s="1" t="s">
        <v>277</v>
      </c>
      <c r="I105" s="1" t="s">
        <v>340</v>
      </c>
      <c r="J105" s="1" t="s">
        <v>281</v>
      </c>
      <c r="K105" s="1" t="s">
        <v>144</v>
      </c>
      <c r="M105" s="1" t="s">
        <v>403</v>
      </c>
      <c r="N105" s="1">
        <v>3.46</v>
      </c>
      <c r="O105" s="1" t="s">
        <v>280</v>
      </c>
    </row>
    <row r="106" spans="1:15" x14ac:dyDescent="0.3">
      <c r="A106" t="s">
        <v>179</v>
      </c>
      <c r="B106" s="1" t="s">
        <v>180</v>
      </c>
      <c r="C106" s="1">
        <v>2003</v>
      </c>
      <c r="D106" s="1">
        <v>2003</v>
      </c>
      <c r="F106" s="1" t="s">
        <v>224</v>
      </c>
      <c r="G106" s="1" t="s">
        <v>283</v>
      </c>
      <c r="H106" s="1" t="s">
        <v>277</v>
      </c>
      <c r="I106" s="1" t="s">
        <v>340</v>
      </c>
      <c r="J106" s="1">
        <v>17000</v>
      </c>
      <c r="K106" s="1" t="s">
        <v>144</v>
      </c>
      <c r="M106" s="1" t="s">
        <v>406</v>
      </c>
      <c r="N106" s="1">
        <v>88.6</v>
      </c>
      <c r="O106" s="1" t="s">
        <v>404</v>
      </c>
    </row>
    <row r="107" spans="1:15" x14ac:dyDescent="0.3">
      <c r="A107" t="s">
        <v>179</v>
      </c>
      <c r="B107" s="1" t="s">
        <v>180</v>
      </c>
      <c r="C107" s="1">
        <v>2003</v>
      </c>
      <c r="D107" s="1">
        <v>2003</v>
      </c>
      <c r="F107" s="1" t="s">
        <v>224</v>
      </c>
      <c r="G107" s="1" t="s">
        <v>283</v>
      </c>
      <c r="H107" s="1" t="s">
        <v>277</v>
      </c>
      <c r="I107" s="1" t="s">
        <v>340</v>
      </c>
      <c r="J107" s="1">
        <v>44000</v>
      </c>
      <c r="K107" s="1" t="s">
        <v>144</v>
      </c>
      <c r="M107" s="1" t="s">
        <v>405</v>
      </c>
      <c r="N107" s="1">
        <v>198.14</v>
      </c>
      <c r="O107" s="1" t="s">
        <v>404</v>
      </c>
    </row>
    <row r="108" spans="1:15" x14ac:dyDescent="0.3">
      <c r="A108" t="s">
        <v>179</v>
      </c>
      <c r="B108" s="1" t="s">
        <v>180</v>
      </c>
      <c r="C108" s="1">
        <v>2003</v>
      </c>
      <c r="D108" s="1">
        <v>2003</v>
      </c>
      <c r="F108" s="1" t="s">
        <v>224</v>
      </c>
      <c r="G108" s="1" t="s">
        <v>283</v>
      </c>
      <c r="H108" s="1" t="s">
        <v>277</v>
      </c>
      <c r="I108" s="1" t="s">
        <v>340</v>
      </c>
      <c r="J108" s="1">
        <v>87000</v>
      </c>
      <c r="K108" s="1" t="s">
        <v>144</v>
      </c>
      <c r="M108" s="1" t="s">
        <v>407</v>
      </c>
      <c r="N108" s="1">
        <v>355.13</v>
      </c>
      <c r="O108" s="1" t="s">
        <v>404</v>
      </c>
    </row>
    <row r="109" spans="1:15" x14ac:dyDescent="0.3">
      <c r="A109" t="s">
        <v>179</v>
      </c>
      <c r="B109" s="1" t="s">
        <v>180</v>
      </c>
      <c r="C109" s="1">
        <v>2003</v>
      </c>
      <c r="D109" s="1">
        <v>2003</v>
      </c>
      <c r="F109" s="1" t="s">
        <v>224</v>
      </c>
      <c r="G109" s="1" t="s">
        <v>283</v>
      </c>
      <c r="H109" s="1" t="s">
        <v>277</v>
      </c>
      <c r="I109" s="1" t="s">
        <v>340</v>
      </c>
      <c r="J109" s="1">
        <v>214000</v>
      </c>
      <c r="K109" s="1" t="s">
        <v>144</v>
      </c>
      <c r="M109" s="1" t="s">
        <v>408</v>
      </c>
      <c r="N109" s="1">
        <v>796.2</v>
      </c>
      <c r="O109" s="1" t="s">
        <v>404</v>
      </c>
    </row>
    <row r="110" spans="1:15" x14ac:dyDescent="0.3">
      <c r="A110" t="s">
        <v>179</v>
      </c>
      <c r="B110" s="1" t="s">
        <v>180</v>
      </c>
      <c r="C110" s="1">
        <v>2003</v>
      </c>
      <c r="D110" s="1">
        <v>2003</v>
      </c>
      <c r="F110" s="1" t="s">
        <v>224</v>
      </c>
      <c r="G110" s="1" t="s">
        <v>283</v>
      </c>
      <c r="H110" s="1" t="s">
        <v>277</v>
      </c>
      <c r="I110" s="1" t="s">
        <v>340</v>
      </c>
      <c r="J110" s="1">
        <v>383000</v>
      </c>
      <c r="K110" s="1" t="s">
        <v>144</v>
      </c>
      <c r="M110" s="1" t="s">
        <v>409</v>
      </c>
      <c r="N110" s="1">
        <v>1416.68</v>
      </c>
      <c r="O110" s="1" t="s">
        <v>404</v>
      </c>
    </row>
    <row r="111" spans="1:15" x14ac:dyDescent="0.3">
      <c r="A111" t="s">
        <v>179</v>
      </c>
      <c r="B111" s="1" t="s">
        <v>180</v>
      </c>
      <c r="C111" s="1">
        <v>2003</v>
      </c>
      <c r="D111" s="1">
        <v>2003</v>
      </c>
      <c r="F111" s="1" t="s">
        <v>224</v>
      </c>
      <c r="G111" s="1" t="s">
        <v>283</v>
      </c>
      <c r="H111" s="1" t="s">
        <v>277</v>
      </c>
      <c r="I111" s="1" t="s">
        <v>340</v>
      </c>
      <c r="J111" s="1">
        <v>903000</v>
      </c>
      <c r="K111" s="1" t="s">
        <v>144</v>
      </c>
      <c r="M111" s="1" t="s">
        <v>410</v>
      </c>
      <c r="N111" s="1">
        <v>3184.76</v>
      </c>
      <c r="O111" s="1" t="s">
        <v>404</v>
      </c>
    </row>
    <row r="112" spans="1:15" x14ac:dyDescent="0.3">
      <c r="A112" t="s">
        <v>179</v>
      </c>
      <c r="B112" s="1" t="s">
        <v>180</v>
      </c>
      <c r="C112" s="1">
        <v>1992</v>
      </c>
      <c r="D112" s="1">
        <v>1991</v>
      </c>
      <c r="F112" s="1" t="s">
        <v>224</v>
      </c>
      <c r="G112" s="1" t="s">
        <v>283</v>
      </c>
      <c r="H112" s="1" t="s">
        <v>277</v>
      </c>
      <c r="I112" s="1" t="s">
        <v>340</v>
      </c>
      <c r="J112" s="1">
        <v>6000</v>
      </c>
      <c r="K112" s="1" t="s">
        <v>144</v>
      </c>
      <c r="N112" s="51">
        <v>15.3</v>
      </c>
      <c r="O112" s="1" t="s">
        <v>404</v>
      </c>
    </row>
    <row r="113" spans="1:15" x14ac:dyDescent="0.3">
      <c r="A113" t="s">
        <v>179</v>
      </c>
      <c r="B113" s="1" t="s">
        <v>180</v>
      </c>
      <c r="C113" s="1">
        <v>1992</v>
      </c>
      <c r="D113" s="1">
        <v>1991</v>
      </c>
      <c r="F113" s="1" t="s">
        <v>224</v>
      </c>
      <c r="G113" s="1" t="s">
        <v>283</v>
      </c>
      <c r="H113" s="1" t="s">
        <v>277</v>
      </c>
      <c r="I113" s="1" t="s">
        <v>340</v>
      </c>
      <c r="J113" s="1" t="s">
        <v>279</v>
      </c>
      <c r="K113" s="1" t="s">
        <v>144</v>
      </c>
      <c r="N113" s="51">
        <v>2.06</v>
      </c>
      <c r="O113" s="1" t="s">
        <v>280</v>
      </c>
    </row>
    <row r="114" spans="1:15" x14ac:dyDescent="0.3">
      <c r="A114" t="s">
        <v>179</v>
      </c>
      <c r="B114" s="1" t="s">
        <v>180</v>
      </c>
      <c r="C114" s="1">
        <v>1992</v>
      </c>
      <c r="D114" s="1">
        <v>1992</v>
      </c>
      <c r="F114" s="1" t="s">
        <v>224</v>
      </c>
      <c r="G114" s="1" t="s">
        <v>283</v>
      </c>
      <c r="H114" s="1" t="s">
        <v>277</v>
      </c>
      <c r="I114" s="1" t="s">
        <v>340</v>
      </c>
      <c r="J114" s="1">
        <v>6000</v>
      </c>
      <c r="K114" s="1" t="s">
        <v>144</v>
      </c>
      <c r="N114" s="1">
        <v>19.13</v>
      </c>
      <c r="O114" s="1" t="s">
        <v>404</v>
      </c>
    </row>
    <row r="115" spans="1:15" x14ac:dyDescent="0.3">
      <c r="A115" t="s">
        <v>179</v>
      </c>
      <c r="B115" s="1" t="s">
        <v>180</v>
      </c>
      <c r="C115" s="1">
        <v>1992</v>
      </c>
      <c r="D115" s="1">
        <v>1992</v>
      </c>
      <c r="F115" s="1" t="s">
        <v>224</v>
      </c>
      <c r="G115" s="1" t="s">
        <v>283</v>
      </c>
      <c r="H115" s="1" t="s">
        <v>277</v>
      </c>
      <c r="I115" s="1" t="s">
        <v>340</v>
      </c>
      <c r="J115" s="1" t="s">
        <v>279</v>
      </c>
      <c r="K115" s="1" t="s">
        <v>144</v>
      </c>
      <c r="N115" s="1">
        <v>2.58</v>
      </c>
      <c r="O115" s="1" t="s">
        <v>280</v>
      </c>
    </row>
    <row r="116" spans="1:15" x14ac:dyDescent="0.3">
      <c r="A116" t="s">
        <v>179</v>
      </c>
      <c r="B116" s="1" t="s">
        <v>180</v>
      </c>
      <c r="C116" s="1">
        <v>1992</v>
      </c>
      <c r="D116" s="1">
        <v>1991</v>
      </c>
      <c r="F116" s="1" t="s">
        <v>224</v>
      </c>
      <c r="G116" s="1" t="s">
        <v>283</v>
      </c>
      <c r="H116" s="1" t="s">
        <v>277</v>
      </c>
      <c r="I116" s="1" t="s">
        <v>340</v>
      </c>
      <c r="J116" s="1">
        <v>6000</v>
      </c>
      <c r="K116" s="1" t="s">
        <v>144</v>
      </c>
      <c r="N116" s="1">
        <v>10.34</v>
      </c>
      <c r="O116" s="1" t="s">
        <v>404</v>
      </c>
    </row>
    <row r="117" spans="1:15" x14ac:dyDescent="0.3">
      <c r="A117" t="s">
        <v>179</v>
      </c>
      <c r="B117" s="1" t="s">
        <v>180</v>
      </c>
      <c r="C117" s="1">
        <v>1992</v>
      </c>
      <c r="D117" s="1">
        <v>1991</v>
      </c>
      <c r="F117" s="1" t="s">
        <v>224</v>
      </c>
      <c r="G117" s="1" t="s">
        <v>283</v>
      </c>
      <c r="H117" s="1" t="s">
        <v>277</v>
      </c>
      <c r="I117" s="1" t="s">
        <v>340</v>
      </c>
      <c r="J117" s="1" t="s">
        <v>279</v>
      </c>
      <c r="K117" s="1" t="s">
        <v>144</v>
      </c>
      <c r="N117" s="1">
        <v>1.38</v>
      </c>
      <c r="O117" s="1" t="s">
        <v>280</v>
      </c>
    </row>
    <row r="118" spans="1:15" x14ac:dyDescent="0.3">
      <c r="A118" t="s">
        <v>179</v>
      </c>
      <c r="B118" s="1" t="s">
        <v>180</v>
      </c>
      <c r="C118" s="1">
        <v>1992</v>
      </c>
      <c r="D118" s="1">
        <v>1992</v>
      </c>
      <c r="F118" s="1" t="s">
        <v>224</v>
      </c>
      <c r="G118" s="1" t="s">
        <v>283</v>
      </c>
      <c r="H118" s="1" t="s">
        <v>277</v>
      </c>
      <c r="I118" s="1" t="s">
        <v>340</v>
      </c>
      <c r="J118" s="1">
        <v>6000</v>
      </c>
      <c r="K118" s="1" t="s">
        <v>144</v>
      </c>
      <c r="N118" s="1">
        <v>12.93</v>
      </c>
      <c r="O118" s="1" t="s">
        <v>404</v>
      </c>
    </row>
    <row r="119" spans="1:15" x14ac:dyDescent="0.3">
      <c r="A119" t="s">
        <v>179</v>
      </c>
      <c r="B119" s="1" t="s">
        <v>180</v>
      </c>
      <c r="C119" s="1">
        <v>1992</v>
      </c>
      <c r="D119" s="1">
        <v>1992</v>
      </c>
      <c r="F119" s="1" t="s">
        <v>224</v>
      </c>
      <c r="G119" s="1" t="s">
        <v>283</v>
      </c>
      <c r="H119" s="1" t="s">
        <v>277</v>
      </c>
      <c r="I119" s="1" t="s">
        <v>340</v>
      </c>
      <c r="J119" s="1" t="s">
        <v>279</v>
      </c>
      <c r="K119" s="1" t="s">
        <v>144</v>
      </c>
      <c r="N119" s="1">
        <v>1.73</v>
      </c>
      <c r="O119" s="1" t="s">
        <v>280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M36"/>
  <sheetViews>
    <sheetView workbookViewId="0">
      <pane xSplit="13" ySplit="7" topLeftCell="N8" activePane="bottomRight" state="frozen"/>
      <selection pane="topRight" activeCell="L1" sqref="L1"/>
      <selection pane="bottomLeft" activeCell="A8" sqref="A8"/>
      <selection pane="bottomRight" activeCell="D36" sqref="D36"/>
    </sheetView>
  </sheetViews>
  <sheetFormatPr defaultRowHeight="14.4" x14ac:dyDescent="0.3"/>
  <cols>
    <col min="1" max="3" width="8.88671875" style="1"/>
    <col min="4" max="4" width="22" style="1" customWidth="1"/>
    <col min="5" max="11" width="10.44140625" style="1" bestFit="1" customWidth="1"/>
    <col min="12" max="12" width="11" style="1" customWidth="1"/>
    <col min="13" max="17" width="10.44140625" style="1" bestFit="1" customWidth="1"/>
    <col min="18" max="18" width="8.88671875" style="1"/>
    <col min="19" max="20" width="11.44140625" style="1" customWidth="1"/>
    <col min="21" max="21" width="12" style="1" customWidth="1"/>
    <col min="22" max="22" width="10.21875" style="1" customWidth="1"/>
    <col min="23" max="32" width="8.88671875" style="1"/>
    <col min="33" max="33" width="10.44140625" style="1" customWidth="1"/>
    <col min="34" max="34" width="11" style="1" customWidth="1"/>
    <col min="35" max="35" width="11.21875" style="1" customWidth="1"/>
    <col min="36" max="36" width="11.5546875" style="1" customWidth="1"/>
    <col min="37" max="16384" width="8.88671875" style="1"/>
  </cols>
  <sheetData>
    <row r="1" spans="1:39" x14ac:dyDescent="0.3">
      <c r="G1" s="10"/>
      <c r="H1" s="11" t="s">
        <v>33</v>
      </c>
      <c r="I1" s="12"/>
      <c r="J1" s="12"/>
      <c r="K1" s="12"/>
      <c r="L1" s="12"/>
      <c r="M1" s="12"/>
      <c r="N1" s="10"/>
      <c r="O1" s="10"/>
      <c r="P1" s="10"/>
      <c r="Q1" s="10"/>
      <c r="R1" s="13"/>
      <c r="S1" s="13"/>
      <c r="T1" s="13"/>
      <c r="U1" s="13"/>
      <c r="V1" s="13"/>
      <c r="W1" s="13"/>
      <c r="X1" s="13"/>
      <c r="Y1" s="13"/>
      <c r="Z1" s="13"/>
      <c r="AA1" s="14" t="s">
        <v>34</v>
      </c>
      <c r="AB1" s="13"/>
      <c r="AC1" s="13"/>
      <c r="AD1" s="13"/>
      <c r="AE1" s="14" t="s">
        <v>35</v>
      </c>
      <c r="AF1" s="13"/>
      <c r="AG1" s="13"/>
      <c r="AH1" s="13"/>
      <c r="AI1" s="13"/>
      <c r="AJ1" s="13"/>
      <c r="AL1" s="23" t="s">
        <v>295</v>
      </c>
    </row>
    <row r="2" spans="1:39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494</v>
      </c>
      <c r="F2" s="2" t="s">
        <v>493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60</v>
      </c>
      <c r="AD2" s="5" t="s">
        <v>61</v>
      </c>
      <c r="AE2" s="5" t="s">
        <v>62</v>
      </c>
      <c r="AF2" s="5" t="s">
        <v>63</v>
      </c>
      <c r="AG2" s="5" t="s">
        <v>64</v>
      </c>
      <c r="AH2" s="5" t="s">
        <v>65</v>
      </c>
      <c r="AI2" s="5" t="s">
        <v>66</v>
      </c>
      <c r="AJ2" s="5" t="s">
        <v>67</v>
      </c>
      <c r="AK2" s="5" t="s">
        <v>82</v>
      </c>
      <c r="AL2" s="23" t="s">
        <v>294</v>
      </c>
    </row>
    <row r="3" spans="1:39" x14ac:dyDescent="0.3">
      <c r="A3" t="s">
        <v>179</v>
      </c>
      <c r="B3" s="1" t="s">
        <v>180</v>
      </c>
      <c r="C3" s="1" t="s">
        <v>68</v>
      </c>
      <c r="D3" s="1" t="s">
        <v>285</v>
      </c>
      <c r="E3" s="20">
        <v>847007</v>
      </c>
      <c r="F3" s="50">
        <v>944116</v>
      </c>
      <c r="G3" s="10">
        <v>994814</v>
      </c>
      <c r="H3" s="10">
        <v>990123</v>
      </c>
      <c r="I3" s="10">
        <v>1008840</v>
      </c>
      <c r="J3" s="10">
        <v>996886</v>
      </c>
      <c r="K3" s="10">
        <v>1281735</v>
      </c>
      <c r="L3" s="10">
        <v>1323049</v>
      </c>
      <c r="M3" s="10">
        <v>1353221</v>
      </c>
      <c r="N3" s="10">
        <v>1368572</v>
      </c>
      <c r="O3" s="10">
        <v>1386113</v>
      </c>
      <c r="P3" s="10">
        <v>1577813</v>
      </c>
      <c r="Q3" s="10">
        <v>1974297</v>
      </c>
      <c r="R3" s="13"/>
      <c r="S3" s="13">
        <v>1819617</v>
      </c>
      <c r="T3" s="13">
        <v>2223641</v>
      </c>
      <c r="U3" s="13">
        <v>2247043</v>
      </c>
      <c r="V3" s="13">
        <v>2235000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>
        <v>2656992</v>
      </c>
      <c r="AH3" s="13">
        <v>2703361</v>
      </c>
      <c r="AI3" s="13">
        <v>3825323</v>
      </c>
      <c r="AJ3" s="13">
        <v>3847845</v>
      </c>
      <c r="AK3" s="13"/>
    </row>
    <row r="4" spans="1:39" x14ac:dyDescent="0.3">
      <c r="A4" t="s">
        <v>179</v>
      </c>
      <c r="B4" s="1" t="s">
        <v>180</v>
      </c>
      <c r="C4" s="1" t="s">
        <v>68</v>
      </c>
      <c r="D4" s="1" t="s">
        <v>286</v>
      </c>
      <c r="E4" s="20">
        <v>184042</v>
      </c>
      <c r="F4" s="20">
        <v>247720</v>
      </c>
      <c r="G4" s="10">
        <v>218195</v>
      </c>
      <c r="H4" s="10">
        <v>227110</v>
      </c>
      <c r="I4" s="10">
        <v>265869</v>
      </c>
      <c r="J4" s="10">
        <v>240891</v>
      </c>
      <c r="K4" s="10">
        <v>323065</v>
      </c>
      <c r="L4" s="10">
        <v>319009</v>
      </c>
      <c r="M4" s="10">
        <v>330391</v>
      </c>
      <c r="N4" s="10">
        <v>338204</v>
      </c>
      <c r="O4" s="10">
        <v>322146</v>
      </c>
      <c r="P4" s="10">
        <v>337432</v>
      </c>
      <c r="Q4" s="10">
        <v>315755</v>
      </c>
      <c r="R4" s="13"/>
      <c r="S4" s="13">
        <v>379164</v>
      </c>
      <c r="T4" s="13">
        <v>468976</v>
      </c>
      <c r="U4" s="13">
        <v>433511</v>
      </c>
      <c r="V4" s="13">
        <v>440000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>
        <v>548074</v>
      </c>
      <c r="AH4" s="13">
        <v>562020</v>
      </c>
      <c r="AI4" s="13">
        <v>735515</v>
      </c>
      <c r="AJ4" s="13">
        <v>607267</v>
      </c>
      <c r="AK4" s="13"/>
    </row>
    <row r="5" spans="1:39" x14ac:dyDescent="0.3">
      <c r="A5" t="s">
        <v>179</v>
      </c>
      <c r="B5" s="1" t="s">
        <v>180</v>
      </c>
      <c r="C5" s="1" t="s">
        <v>68</v>
      </c>
      <c r="D5" s="1" t="s">
        <v>287</v>
      </c>
      <c r="E5" s="20">
        <v>360800</v>
      </c>
      <c r="F5" s="20">
        <v>464621</v>
      </c>
      <c r="G5" s="10">
        <v>478767</v>
      </c>
      <c r="H5" s="10">
        <v>305644</v>
      </c>
      <c r="I5" s="10">
        <v>404741</v>
      </c>
      <c r="J5" s="10">
        <v>374611</v>
      </c>
      <c r="K5" s="10">
        <v>385911</v>
      </c>
      <c r="L5" s="10">
        <v>435965</v>
      </c>
      <c r="M5" s="10">
        <v>521155</v>
      </c>
      <c r="N5" s="10">
        <v>483266</v>
      </c>
      <c r="O5" s="10">
        <v>459790</v>
      </c>
      <c r="P5" s="10">
        <v>515769</v>
      </c>
      <c r="Q5" s="10">
        <v>566797</v>
      </c>
      <c r="R5" s="13"/>
      <c r="S5" s="13">
        <v>680897</v>
      </c>
      <c r="T5" s="13">
        <v>530994</v>
      </c>
      <c r="U5" s="13">
        <v>374707</v>
      </c>
      <c r="V5" s="13">
        <v>295000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v>358643</v>
      </c>
      <c r="AH5" s="13">
        <v>371726</v>
      </c>
      <c r="AI5" s="13">
        <v>567848</v>
      </c>
      <c r="AJ5" s="13">
        <v>571774</v>
      </c>
      <c r="AK5" s="13"/>
    </row>
    <row r="6" spans="1:39" x14ac:dyDescent="0.3">
      <c r="A6" t="s">
        <v>179</v>
      </c>
      <c r="B6" s="1" t="s">
        <v>180</v>
      </c>
      <c r="C6" s="1" t="s">
        <v>68</v>
      </c>
      <c r="D6" s="1" t="s">
        <v>288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163787</v>
      </c>
      <c r="AH6" s="13">
        <v>166237</v>
      </c>
      <c r="AI6" s="13">
        <v>150173</v>
      </c>
      <c r="AJ6" s="13">
        <v>88836</v>
      </c>
      <c r="AK6" s="13"/>
      <c r="AM6" s="23"/>
    </row>
    <row r="7" spans="1:39" x14ac:dyDescent="0.3">
      <c r="A7" t="s">
        <v>179</v>
      </c>
      <c r="B7" s="1" t="s">
        <v>180</v>
      </c>
      <c r="C7" s="1" t="s">
        <v>68</v>
      </c>
      <c r="D7" s="1" t="s">
        <v>289</v>
      </c>
      <c r="E7" s="20">
        <v>32435</v>
      </c>
      <c r="F7" s="20">
        <v>32048</v>
      </c>
      <c r="G7" s="10">
        <v>31843</v>
      </c>
      <c r="H7" s="10">
        <v>30304</v>
      </c>
      <c r="I7" s="10">
        <v>30768</v>
      </c>
      <c r="J7" s="10">
        <v>30966</v>
      </c>
      <c r="K7" s="10">
        <v>31378</v>
      </c>
      <c r="L7" s="10">
        <v>32180</v>
      </c>
      <c r="M7" s="10">
        <v>13525</v>
      </c>
      <c r="N7" s="10">
        <v>14544</v>
      </c>
      <c r="O7" s="10">
        <v>14447</v>
      </c>
      <c r="P7" s="10">
        <v>17145</v>
      </c>
      <c r="Q7" s="10">
        <v>29434</v>
      </c>
      <c r="R7" s="13"/>
      <c r="S7" s="13">
        <v>31266</v>
      </c>
      <c r="T7" s="13">
        <v>38952</v>
      </c>
      <c r="U7" s="13">
        <v>39038</v>
      </c>
      <c r="V7" s="13">
        <v>66700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242996</v>
      </c>
      <c r="AH7" s="13">
        <v>270484</v>
      </c>
      <c r="AI7" s="13">
        <v>310637</v>
      </c>
      <c r="AJ7" s="13">
        <v>232332</v>
      </c>
      <c r="AK7" s="13"/>
    </row>
    <row r="8" spans="1:39" x14ac:dyDescent="0.3">
      <c r="A8" t="s">
        <v>179</v>
      </c>
      <c r="B8" s="1" t="s">
        <v>180</v>
      </c>
      <c r="C8" s="1" t="s">
        <v>68</v>
      </c>
      <c r="D8" s="1" t="s">
        <v>290</v>
      </c>
      <c r="E8" s="1">
        <v>295337</v>
      </c>
      <c r="F8" s="1">
        <v>342644</v>
      </c>
      <c r="G8" s="10">
        <v>317130</v>
      </c>
      <c r="H8" s="10">
        <v>329467</v>
      </c>
      <c r="I8" s="10">
        <v>381650</v>
      </c>
      <c r="J8" s="10">
        <v>376787</v>
      </c>
      <c r="K8" s="10">
        <v>464134</v>
      </c>
      <c r="L8" s="10">
        <v>487093</v>
      </c>
      <c r="M8" s="10">
        <v>548592</v>
      </c>
      <c r="N8" s="10">
        <v>451741</v>
      </c>
      <c r="O8" s="10">
        <v>470029</v>
      </c>
      <c r="P8" s="10">
        <v>537196</v>
      </c>
      <c r="Q8" s="10">
        <v>360316</v>
      </c>
      <c r="R8" s="13"/>
      <c r="S8" s="1">
        <v>439998</v>
      </c>
      <c r="T8" s="1">
        <v>541177</v>
      </c>
      <c r="U8" s="1">
        <v>555597</v>
      </c>
      <c r="V8" s="13">
        <v>556000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509270</v>
      </c>
      <c r="AH8" s="13">
        <v>506566</v>
      </c>
      <c r="AI8" s="13">
        <v>534372</v>
      </c>
      <c r="AJ8" s="13">
        <v>490685</v>
      </c>
      <c r="AK8" s="13"/>
    </row>
    <row r="9" spans="1:39" x14ac:dyDescent="0.3">
      <c r="A9" t="s">
        <v>179</v>
      </c>
      <c r="B9" s="1" t="s">
        <v>180</v>
      </c>
      <c r="C9" s="1" t="s">
        <v>68</v>
      </c>
      <c r="D9" s="1" t="s">
        <v>291</v>
      </c>
      <c r="E9" s="1">
        <v>58994</v>
      </c>
      <c r="F9" s="1">
        <v>82430</v>
      </c>
      <c r="G9" s="10">
        <v>26733</v>
      </c>
      <c r="H9" s="10">
        <v>49565</v>
      </c>
      <c r="I9" s="10">
        <v>48114</v>
      </c>
      <c r="J9" s="10">
        <v>52542</v>
      </c>
      <c r="K9" s="10">
        <v>57530</v>
      </c>
      <c r="L9" s="10">
        <v>55266</v>
      </c>
      <c r="M9" s="10">
        <v>48293</v>
      </c>
      <c r="N9" s="10">
        <v>45954</v>
      </c>
      <c r="O9" s="10">
        <v>43416</v>
      </c>
      <c r="P9" s="10">
        <v>55296</v>
      </c>
      <c r="R9" s="13"/>
      <c r="S9" s="13">
        <v>69775</v>
      </c>
      <c r="T9" s="13">
        <v>86029</v>
      </c>
      <c r="U9" s="13">
        <v>98986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99040</v>
      </c>
      <c r="AH9" s="13">
        <v>98698</v>
      </c>
      <c r="AI9" s="13">
        <v>128257</v>
      </c>
      <c r="AJ9" s="13">
        <v>127114</v>
      </c>
      <c r="AK9" s="13"/>
    </row>
    <row r="10" spans="1:39" x14ac:dyDescent="0.3">
      <c r="A10" t="s">
        <v>179</v>
      </c>
      <c r="B10" s="1" t="s">
        <v>180</v>
      </c>
      <c r="C10" s="1" t="s">
        <v>68</v>
      </c>
      <c r="D10" s="1" t="s">
        <v>292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3"/>
      <c r="S10" s="13"/>
      <c r="T10" s="13"/>
      <c r="U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v>4765</v>
      </c>
      <c r="AH10" s="13">
        <v>5044</v>
      </c>
      <c r="AI10" s="13">
        <v>5763</v>
      </c>
      <c r="AJ10" s="13">
        <v>5312</v>
      </c>
      <c r="AK10" s="13"/>
    </row>
    <row r="11" spans="1:39" x14ac:dyDescent="0.3">
      <c r="A11" t="s">
        <v>179</v>
      </c>
      <c r="B11" s="1" t="s">
        <v>180</v>
      </c>
      <c r="C11" s="1" t="s">
        <v>68</v>
      </c>
      <c r="D11" s="1" t="s">
        <v>293</v>
      </c>
      <c r="G11" s="10"/>
      <c r="H11" s="10"/>
      <c r="I11" s="10">
        <v>0</v>
      </c>
      <c r="J11" s="10">
        <v>5260</v>
      </c>
      <c r="K11" s="10">
        <v>24496</v>
      </c>
      <c r="L11" s="10">
        <v>36325</v>
      </c>
      <c r="M11" s="10">
        <v>0</v>
      </c>
      <c r="N11" s="10">
        <v>0</v>
      </c>
      <c r="O11" s="10">
        <v>0</v>
      </c>
      <c r="P11" s="10">
        <v>0</v>
      </c>
      <c r="Q11" s="10"/>
      <c r="R11" s="13"/>
      <c r="S11" s="13"/>
      <c r="T11" s="13"/>
      <c r="U11" s="13"/>
      <c r="V11" s="13">
        <v>128000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v>19840</v>
      </c>
      <c r="AH11" s="13">
        <v>45732</v>
      </c>
      <c r="AI11" s="13">
        <v>14412</v>
      </c>
      <c r="AJ11" s="13">
        <v>28494</v>
      </c>
      <c r="AK11" s="13"/>
    </row>
    <row r="12" spans="1:39" x14ac:dyDescent="0.3">
      <c r="A12" t="s">
        <v>179</v>
      </c>
      <c r="B12" s="1" t="s">
        <v>180</v>
      </c>
      <c r="C12" s="1" t="s">
        <v>68</v>
      </c>
      <c r="D12" s="1" t="s">
        <v>411</v>
      </c>
      <c r="G12" s="10"/>
      <c r="H12" s="10"/>
      <c r="I12" s="10">
        <v>0</v>
      </c>
      <c r="J12" s="10">
        <v>38784</v>
      </c>
      <c r="K12" s="10">
        <v>39074</v>
      </c>
      <c r="L12" s="10">
        <v>48587</v>
      </c>
      <c r="M12" s="10">
        <v>48587</v>
      </c>
      <c r="N12" s="10">
        <v>48587</v>
      </c>
      <c r="O12" s="10">
        <v>48587</v>
      </c>
      <c r="P12" s="10">
        <v>61637</v>
      </c>
      <c r="Q12" s="10"/>
      <c r="R12" s="13"/>
      <c r="S12" s="13">
        <v>63693</v>
      </c>
      <c r="T12" s="13">
        <v>63693</v>
      </c>
      <c r="U12" s="13">
        <v>63693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9" x14ac:dyDescent="0.3">
      <c r="A13" t="s">
        <v>179</v>
      </c>
      <c r="B13" s="1" t="s">
        <v>180</v>
      </c>
      <c r="C13" s="1" t="s">
        <v>68</v>
      </c>
      <c r="D13" s="1" t="s">
        <v>412</v>
      </c>
      <c r="E13" s="1">
        <v>0</v>
      </c>
      <c r="F13" s="1">
        <v>0</v>
      </c>
      <c r="G13" s="10">
        <v>590</v>
      </c>
      <c r="H13" s="10">
        <v>1570</v>
      </c>
      <c r="I13" s="10">
        <v>660</v>
      </c>
      <c r="J13" s="10">
        <v>20341</v>
      </c>
      <c r="K13" s="10">
        <v>2468</v>
      </c>
      <c r="L13" s="10">
        <v>25636</v>
      </c>
      <c r="M13" s="10">
        <v>19847</v>
      </c>
      <c r="N13" s="10">
        <v>147577</v>
      </c>
      <c r="O13" s="10">
        <v>39641</v>
      </c>
      <c r="P13" s="10">
        <v>28034</v>
      </c>
      <c r="Q13" s="10">
        <v>89072</v>
      </c>
      <c r="R13" s="13"/>
      <c r="S13" s="13">
        <v>429115</v>
      </c>
      <c r="T13" s="13">
        <v>218709</v>
      </c>
      <c r="U13" s="13">
        <v>92767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1:39" x14ac:dyDescent="0.3">
      <c r="A14" t="s">
        <v>179</v>
      </c>
      <c r="B14" s="1" t="s">
        <v>180</v>
      </c>
      <c r="C14" s="7" t="s">
        <v>68</v>
      </c>
      <c r="D14" s="7" t="s">
        <v>69</v>
      </c>
      <c r="E14" s="15">
        <f t="shared" ref="E14:G14" si="0">SUM(E3:E13)</f>
        <v>1778615</v>
      </c>
      <c r="F14" s="15">
        <f t="shared" si="0"/>
        <v>2113579</v>
      </c>
      <c r="G14" s="15">
        <f t="shared" si="0"/>
        <v>2068072</v>
      </c>
      <c r="H14" s="15">
        <f>SUM(H3:H13)</f>
        <v>1933783</v>
      </c>
      <c r="I14" s="15">
        <f t="shared" ref="I14:Q14" si="1">SUM(I3:I13)</f>
        <v>2140642</v>
      </c>
      <c r="J14" s="15">
        <f t="shared" si="1"/>
        <v>2137068</v>
      </c>
      <c r="K14" s="15">
        <f t="shared" si="1"/>
        <v>2609791</v>
      </c>
      <c r="L14" s="15">
        <f t="shared" si="1"/>
        <v>2763110</v>
      </c>
      <c r="M14" s="15">
        <f t="shared" si="1"/>
        <v>2883611</v>
      </c>
      <c r="N14" s="15">
        <f t="shared" si="1"/>
        <v>2898445</v>
      </c>
      <c r="O14" s="15">
        <f t="shared" si="1"/>
        <v>2784169</v>
      </c>
      <c r="P14" s="15">
        <f t="shared" si="1"/>
        <v>3130322</v>
      </c>
      <c r="Q14" s="15">
        <f t="shared" si="1"/>
        <v>3335671</v>
      </c>
      <c r="R14" s="15">
        <f>SUM(R3:R11)</f>
        <v>0</v>
      </c>
      <c r="S14" s="15">
        <f>SUM(S3:S13)</f>
        <v>3913525</v>
      </c>
      <c r="T14" s="15">
        <f>SUM(T3:T13)</f>
        <v>4172171</v>
      </c>
      <c r="U14" s="15">
        <f>SUM(U3:U13)</f>
        <v>3905342</v>
      </c>
      <c r="V14" s="15">
        <f>SUM(V3:V13)</f>
        <v>3720700</v>
      </c>
      <c r="W14" s="15">
        <f t="shared" ref="W14:AK14" si="2">SUM(W3:W11)</f>
        <v>0</v>
      </c>
      <c r="X14" s="15">
        <f t="shared" si="2"/>
        <v>0</v>
      </c>
      <c r="Y14" s="15">
        <f t="shared" si="2"/>
        <v>0</v>
      </c>
      <c r="Z14" s="15">
        <f t="shared" si="2"/>
        <v>0</v>
      </c>
      <c r="AA14" s="15">
        <f t="shared" si="2"/>
        <v>0</v>
      </c>
      <c r="AB14" s="15">
        <f t="shared" si="2"/>
        <v>0</v>
      </c>
      <c r="AC14" s="15">
        <f t="shared" si="2"/>
        <v>0</v>
      </c>
      <c r="AD14" s="15">
        <f t="shared" si="2"/>
        <v>0</v>
      </c>
      <c r="AE14" s="15">
        <f t="shared" si="2"/>
        <v>0</v>
      </c>
      <c r="AF14" s="15">
        <f t="shared" si="2"/>
        <v>0</v>
      </c>
      <c r="AG14" s="15">
        <f t="shared" si="2"/>
        <v>4603407</v>
      </c>
      <c r="AH14" s="15">
        <f t="shared" si="2"/>
        <v>4729868</v>
      </c>
      <c r="AI14" s="15">
        <f t="shared" si="2"/>
        <v>6272300</v>
      </c>
      <c r="AJ14" s="15">
        <f t="shared" si="2"/>
        <v>5999659</v>
      </c>
      <c r="AK14" s="15">
        <f t="shared" si="2"/>
        <v>0</v>
      </c>
    </row>
    <row r="15" spans="1:39" x14ac:dyDescent="0.3">
      <c r="A15" t="s">
        <v>179</v>
      </c>
      <c r="B15" s="1" t="s">
        <v>180</v>
      </c>
      <c r="C15" s="1" t="s">
        <v>70</v>
      </c>
      <c r="D15" s="1" t="s">
        <v>296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83880</v>
      </c>
      <c r="R15" s="13"/>
      <c r="S15" s="13">
        <v>180474</v>
      </c>
      <c r="T15" s="13">
        <v>27289</v>
      </c>
      <c r="U15" s="13">
        <v>15951</v>
      </c>
      <c r="V15" s="13">
        <v>28000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v>57220</v>
      </c>
      <c r="AH15" s="13">
        <v>57560</v>
      </c>
      <c r="AI15" s="13">
        <v>34187</v>
      </c>
      <c r="AJ15" s="13">
        <v>91351</v>
      </c>
      <c r="AK15" s="13"/>
    </row>
    <row r="16" spans="1:39" x14ac:dyDescent="0.3">
      <c r="A16" t="s">
        <v>179</v>
      </c>
      <c r="B16" s="1" t="s">
        <v>180</v>
      </c>
      <c r="C16" s="1" t="s">
        <v>70</v>
      </c>
      <c r="D16" s="1" t="s">
        <v>297</v>
      </c>
      <c r="E16" s="20">
        <v>232460</v>
      </c>
      <c r="F16" s="20">
        <v>344435</v>
      </c>
      <c r="G16" s="13">
        <v>401153</v>
      </c>
      <c r="H16" s="13">
        <v>393688</v>
      </c>
      <c r="I16" s="13">
        <v>370253</v>
      </c>
      <c r="J16" s="13">
        <v>361862</v>
      </c>
      <c r="K16" s="13">
        <v>355965</v>
      </c>
      <c r="L16" s="13">
        <v>427542</v>
      </c>
      <c r="M16" s="13">
        <v>497078</v>
      </c>
      <c r="N16" s="13">
        <v>442842</v>
      </c>
      <c r="O16" s="13">
        <v>462428</v>
      </c>
      <c r="P16" s="13">
        <v>399685</v>
      </c>
      <c r="Q16" s="13">
        <v>414309</v>
      </c>
      <c r="R16" s="13"/>
      <c r="S16" s="13">
        <v>440229</v>
      </c>
      <c r="T16" s="13">
        <v>398103</v>
      </c>
      <c r="U16" s="13">
        <v>353980</v>
      </c>
      <c r="V16" s="27">
        <v>398750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v>555544</v>
      </c>
      <c r="AH16" s="13">
        <v>571151</v>
      </c>
      <c r="AI16" s="13">
        <v>571102</v>
      </c>
      <c r="AJ16" s="13">
        <v>533713</v>
      </c>
      <c r="AK16" s="13"/>
    </row>
    <row r="17" spans="1:37" x14ac:dyDescent="0.3">
      <c r="A17" t="s">
        <v>179</v>
      </c>
      <c r="B17" s="1" t="s">
        <v>180</v>
      </c>
      <c r="C17" s="1" t="s">
        <v>70</v>
      </c>
      <c r="D17" s="1" t="s">
        <v>298</v>
      </c>
      <c r="E17" s="20">
        <v>228828</v>
      </c>
      <c r="F17" s="20">
        <v>212293</v>
      </c>
      <c r="G17" s="13">
        <v>219264</v>
      </c>
      <c r="H17" s="13">
        <v>228191</v>
      </c>
      <c r="I17" s="13">
        <v>263583</v>
      </c>
      <c r="J17" s="13">
        <v>247176</v>
      </c>
      <c r="K17" s="13">
        <v>291200</v>
      </c>
      <c r="L17" s="13">
        <v>262450</v>
      </c>
      <c r="M17" s="13">
        <v>266929</v>
      </c>
      <c r="N17" s="13">
        <v>275541</v>
      </c>
      <c r="O17" s="13">
        <v>330280</v>
      </c>
      <c r="P17" s="13">
        <v>272806</v>
      </c>
      <c r="Q17" s="13">
        <v>628505</v>
      </c>
      <c r="R17" s="13"/>
      <c r="S17" s="13">
        <v>309815</v>
      </c>
      <c r="T17" s="13">
        <v>357397</v>
      </c>
      <c r="U17" s="13">
        <v>341284</v>
      </c>
      <c r="V17" s="13">
        <v>614800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v>436659</v>
      </c>
      <c r="AH17" s="13">
        <v>545363</v>
      </c>
      <c r="AI17" s="13">
        <v>382760</v>
      </c>
      <c r="AJ17" s="13">
        <v>508071</v>
      </c>
      <c r="AK17" s="13"/>
    </row>
    <row r="18" spans="1:37" x14ac:dyDescent="0.3">
      <c r="A18" t="s">
        <v>179</v>
      </c>
      <c r="B18" s="1" t="s">
        <v>180</v>
      </c>
      <c r="C18" s="1" t="s">
        <v>70</v>
      </c>
      <c r="D18" s="1" t="s">
        <v>299</v>
      </c>
      <c r="E18" s="20">
        <v>262650</v>
      </c>
      <c r="F18" s="20">
        <v>270864</v>
      </c>
      <c r="G18" s="13">
        <v>150763</v>
      </c>
      <c r="H18" s="13">
        <v>161646</v>
      </c>
      <c r="I18" s="13">
        <v>182350</v>
      </c>
      <c r="J18" s="13">
        <v>196770</v>
      </c>
      <c r="K18" s="13">
        <v>359873</v>
      </c>
      <c r="L18" s="13">
        <v>238495</v>
      </c>
      <c r="M18" s="13">
        <v>220018</v>
      </c>
      <c r="N18" s="13">
        <v>223815</v>
      </c>
      <c r="O18" s="13">
        <v>206210</v>
      </c>
      <c r="P18" s="13">
        <v>248750</v>
      </c>
      <c r="Q18" s="13"/>
      <c r="R18" s="13"/>
      <c r="S18" s="13">
        <v>260229</v>
      </c>
      <c r="T18" s="13">
        <v>495287</v>
      </c>
      <c r="U18" s="13">
        <v>292971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v>232079</v>
      </c>
      <c r="AH18" s="13">
        <v>274707</v>
      </c>
      <c r="AI18" s="13">
        <v>268600</v>
      </c>
      <c r="AJ18" s="13">
        <v>450961</v>
      </c>
      <c r="AK18" s="13"/>
    </row>
    <row r="19" spans="1:37" x14ac:dyDescent="0.3">
      <c r="A19" t="s">
        <v>179</v>
      </c>
      <c r="B19" s="1" t="s">
        <v>180</v>
      </c>
      <c r="C19" s="1" t="s">
        <v>70</v>
      </c>
      <c r="D19" s="1" t="s">
        <v>300</v>
      </c>
      <c r="E19" s="20">
        <v>202572</v>
      </c>
      <c r="F19" s="20">
        <v>202191</v>
      </c>
      <c r="G19" s="13">
        <v>185277</v>
      </c>
      <c r="H19" s="13">
        <v>208080</v>
      </c>
      <c r="I19" s="13">
        <v>186802</v>
      </c>
      <c r="J19" s="13">
        <v>183310</v>
      </c>
      <c r="K19" s="13">
        <v>172148</v>
      </c>
      <c r="L19" s="13">
        <v>268214</v>
      </c>
      <c r="M19" s="13">
        <v>322287</v>
      </c>
      <c r="N19" s="13">
        <v>450509</v>
      </c>
      <c r="O19" s="13">
        <v>466983</v>
      </c>
      <c r="P19" s="13">
        <v>380116</v>
      </c>
      <c r="Q19" s="13">
        <v>340270</v>
      </c>
      <c r="R19" s="13"/>
      <c r="S19" s="13">
        <v>355237</v>
      </c>
      <c r="T19" s="13">
        <v>482273</v>
      </c>
      <c r="U19" s="13">
        <v>396001</v>
      </c>
      <c r="V19" s="13">
        <v>448700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>
        <v>632343</v>
      </c>
      <c r="AH19" s="13">
        <v>543437</v>
      </c>
      <c r="AI19" s="13">
        <v>796433</v>
      </c>
      <c r="AJ19" s="13">
        <v>808939</v>
      </c>
      <c r="AK19" s="13"/>
    </row>
    <row r="20" spans="1:37" x14ac:dyDescent="0.3">
      <c r="A20" t="s">
        <v>179</v>
      </c>
      <c r="B20" s="1" t="s">
        <v>180</v>
      </c>
      <c r="C20" s="1" t="s">
        <v>70</v>
      </c>
      <c r="D20" s="1" t="s">
        <v>413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v>48200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x14ac:dyDescent="0.3">
      <c r="A21" t="s">
        <v>179</v>
      </c>
      <c r="B21" s="1" t="s">
        <v>180</v>
      </c>
      <c r="C21" s="1" t="s">
        <v>70</v>
      </c>
      <c r="D21" s="1" t="s">
        <v>301</v>
      </c>
      <c r="E21" s="20">
        <v>112905</v>
      </c>
      <c r="F21" s="20">
        <v>105783</v>
      </c>
      <c r="G21" s="13">
        <v>90009</v>
      </c>
      <c r="H21" s="13">
        <v>97312</v>
      </c>
      <c r="I21" s="13">
        <v>129651</v>
      </c>
      <c r="J21" s="13">
        <v>142785</v>
      </c>
      <c r="K21" s="13">
        <v>144115</v>
      </c>
      <c r="L21" s="13">
        <v>138252</v>
      </c>
      <c r="M21" s="13">
        <v>128662</v>
      </c>
      <c r="N21" s="13">
        <v>138628</v>
      </c>
      <c r="O21" s="13">
        <v>142455</v>
      </c>
      <c r="P21" s="13">
        <v>149836</v>
      </c>
      <c r="Q21" s="13">
        <v>161630</v>
      </c>
      <c r="R21" s="13"/>
      <c r="S21" s="13">
        <v>176994</v>
      </c>
      <c r="T21" s="13">
        <v>191535</v>
      </c>
      <c r="U21" s="13">
        <v>181969</v>
      </c>
      <c r="V21" s="13">
        <v>185200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>
        <v>207976</v>
      </c>
      <c r="AH21" s="13">
        <v>196534</v>
      </c>
      <c r="AI21" s="13">
        <v>0</v>
      </c>
      <c r="AJ21" s="13">
        <v>0</v>
      </c>
      <c r="AK21" s="13"/>
    </row>
    <row r="22" spans="1:37" x14ac:dyDescent="0.3">
      <c r="A22" t="s">
        <v>179</v>
      </c>
      <c r="B22" s="1" t="s">
        <v>180</v>
      </c>
      <c r="C22" s="1" t="s">
        <v>70</v>
      </c>
      <c r="D22" s="1" t="s">
        <v>302</v>
      </c>
      <c r="E22" s="20">
        <v>480561</v>
      </c>
      <c r="F22" s="20">
        <v>542131</v>
      </c>
      <c r="G22" s="13">
        <v>473693</v>
      </c>
      <c r="H22" s="13">
        <v>534636</v>
      </c>
      <c r="I22" s="13">
        <v>608312</v>
      </c>
      <c r="J22" s="13">
        <v>589053</v>
      </c>
      <c r="K22" s="13">
        <v>639661</v>
      </c>
      <c r="L22" s="13">
        <v>755081</v>
      </c>
      <c r="M22" s="13">
        <v>726143</v>
      </c>
      <c r="N22" s="13">
        <v>780461</v>
      </c>
      <c r="O22" s="13">
        <v>858015</v>
      </c>
      <c r="P22" s="13">
        <v>978687</v>
      </c>
      <c r="Q22" s="13">
        <v>945320</v>
      </c>
      <c r="R22" s="13"/>
      <c r="S22" s="13">
        <v>1027372</v>
      </c>
      <c r="T22" s="13">
        <v>992951</v>
      </c>
      <c r="U22" s="13">
        <v>1051891</v>
      </c>
      <c r="V22" s="13">
        <v>618752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>
        <v>1190420</v>
      </c>
      <c r="AH22" s="13">
        <v>1260888</v>
      </c>
      <c r="AI22" s="13">
        <v>1366318</v>
      </c>
      <c r="AJ22" s="13">
        <v>1365576</v>
      </c>
      <c r="AK22" s="13"/>
    </row>
    <row r="23" spans="1:37" x14ac:dyDescent="0.3">
      <c r="A23" t="s">
        <v>179</v>
      </c>
      <c r="B23" s="1" t="s">
        <v>180</v>
      </c>
      <c r="C23" s="1" t="s">
        <v>70</v>
      </c>
      <c r="D23" s="1" t="s">
        <v>303</v>
      </c>
      <c r="E23" s="20">
        <v>176265</v>
      </c>
      <c r="F23" s="20">
        <v>193654</v>
      </c>
      <c r="G23" s="13">
        <v>183060</v>
      </c>
      <c r="H23" s="13">
        <v>186080</v>
      </c>
      <c r="I23" s="13">
        <v>192593</v>
      </c>
      <c r="J23" s="13">
        <v>205271</v>
      </c>
      <c r="K23" s="13">
        <v>216225</v>
      </c>
      <c r="L23" s="13">
        <v>229866</v>
      </c>
      <c r="M23" s="13">
        <v>202336</v>
      </c>
      <c r="N23" s="13">
        <v>218059</v>
      </c>
      <c r="O23" s="13">
        <v>273666</v>
      </c>
      <c r="P23" s="13">
        <v>282709</v>
      </c>
      <c r="Q23" s="13">
        <v>681019</v>
      </c>
      <c r="R23" s="13"/>
      <c r="S23" s="13">
        <v>303613</v>
      </c>
      <c r="T23" s="13">
        <v>360848</v>
      </c>
      <c r="U23" s="13">
        <v>404124</v>
      </c>
      <c r="V23" s="13">
        <v>667617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>
        <v>652053</v>
      </c>
      <c r="AH23" s="13">
        <v>653969</v>
      </c>
      <c r="AI23" s="13">
        <v>793888</v>
      </c>
      <c r="AJ23" s="13">
        <v>809179</v>
      </c>
      <c r="AK23" s="13"/>
    </row>
    <row r="24" spans="1:37" x14ac:dyDescent="0.3">
      <c r="A24" t="s">
        <v>179</v>
      </c>
      <c r="B24" s="1" t="s">
        <v>180</v>
      </c>
      <c r="C24" s="7" t="s">
        <v>70</v>
      </c>
      <c r="D24" s="7" t="s">
        <v>71</v>
      </c>
      <c r="E24" s="15">
        <f>SUM(E16:E23)</f>
        <v>1696241</v>
      </c>
      <c r="F24" s="15">
        <f>SUM(F15:F23)</f>
        <v>1871351</v>
      </c>
      <c r="G24" s="15">
        <f>SUM(G15:G23)</f>
        <v>1703219</v>
      </c>
      <c r="H24" s="15">
        <f>SUM(H15:H23)</f>
        <v>1809633</v>
      </c>
      <c r="I24" s="15">
        <f t="shared" ref="I24:R24" si="3">SUM(I15:I23)</f>
        <v>1933544</v>
      </c>
      <c r="J24" s="15">
        <f t="shared" si="3"/>
        <v>1926227</v>
      </c>
      <c r="K24" s="15">
        <f t="shared" si="3"/>
        <v>2179187</v>
      </c>
      <c r="L24" s="15">
        <f t="shared" si="3"/>
        <v>2319900</v>
      </c>
      <c r="M24" s="15">
        <f t="shared" si="3"/>
        <v>2363453</v>
      </c>
      <c r="N24" s="15">
        <f t="shared" si="3"/>
        <v>2529855</v>
      </c>
      <c r="O24" s="15">
        <f t="shared" si="3"/>
        <v>2740037</v>
      </c>
      <c r="P24" s="15">
        <f t="shared" si="3"/>
        <v>2712589</v>
      </c>
      <c r="Q24" s="12">
        <v>3308434</v>
      </c>
      <c r="R24" s="15">
        <f t="shared" si="3"/>
        <v>0</v>
      </c>
      <c r="S24" s="41">
        <f>SUM(S15:S23)+1</f>
        <v>3053964</v>
      </c>
      <c r="T24" s="41">
        <f>SUM(T15:T23)-1</f>
        <v>3305682</v>
      </c>
      <c r="U24" s="41">
        <f>SUM(U15:U23)+1</f>
        <v>3038172</v>
      </c>
      <c r="V24" s="15">
        <f t="shared" ref="V24:AK24" si="4">SUM(V15:V23)</f>
        <v>3010019</v>
      </c>
      <c r="W24" s="15">
        <f t="shared" si="4"/>
        <v>0</v>
      </c>
      <c r="X24" s="15">
        <f t="shared" si="4"/>
        <v>0</v>
      </c>
      <c r="Y24" s="15">
        <f t="shared" si="4"/>
        <v>0</v>
      </c>
      <c r="Z24" s="15">
        <f t="shared" si="4"/>
        <v>0</v>
      </c>
      <c r="AA24" s="15">
        <f t="shared" si="4"/>
        <v>0</v>
      </c>
      <c r="AB24" s="15">
        <f t="shared" si="4"/>
        <v>0</v>
      </c>
      <c r="AC24" s="15">
        <f t="shared" si="4"/>
        <v>0</v>
      </c>
      <c r="AD24" s="15">
        <f t="shared" si="4"/>
        <v>0</v>
      </c>
      <c r="AE24" s="15">
        <f t="shared" si="4"/>
        <v>0</v>
      </c>
      <c r="AF24" s="15">
        <f t="shared" si="4"/>
        <v>0</v>
      </c>
      <c r="AG24" s="15">
        <f t="shared" si="4"/>
        <v>3964294</v>
      </c>
      <c r="AH24" s="15">
        <f t="shared" si="4"/>
        <v>4103609</v>
      </c>
      <c r="AI24" s="15">
        <f t="shared" si="4"/>
        <v>4213288</v>
      </c>
      <c r="AJ24" s="15">
        <f t="shared" si="4"/>
        <v>4567790</v>
      </c>
      <c r="AK24" s="15">
        <f t="shared" si="4"/>
        <v>0</v>
      </c>
    </row>
    <row r="25" spans="1:37" x14ac:dyDescent="0.3">
      <c r="A25" t="s">
        <v>179</v>
      </c>
      <c r="B25" s="1" t="s">
        <v>180</v>
      </c>
      <c r="C25" s="7" t="s">
        <v>72</v>
      </c>
      <c r="D25" s="7" t="s">
        <v>73</v>
      </c>
      <c r="E25" s="16">
        <f t="shared" ref="E25:AK25" si="5">E14-E24</f>
        <v>82374</v>
      </c>
      <c r="F25" s="16">
        <f t="shared" si="5"/>
        <v>242228</v>
      </c>
      <c r="G25" s="16">
        <f t="shared" si="5"/>
        <v>364853</v>
      </c>
      <c r="H25" s="16">
        <f t="shared" si="5"/>
        <v>124150</v>
      </c>
      <c r="I25" s="16">
        <f t="shared" si="5"/>
        <v>207098</v>
      </c>
      <c r="J25" s="16">
        <f t="shared" si="5"/>
        <v>210841</v>
      </c>
      <c r="K25" s="16">
        <f t="shared" si="5"/>
        <v>430604</v>
      </c>
      <c r="L25" s="16">
        <f t="shared" si="5"/>
        <v>443210</v>
      </c>
      <c r="M25" s="16">
        <f t="shared" si="5"/>
        <v>520158</v>
      </c>
      <c r="N25" s="16">
        <f t="shared" si="5"/>
        <v>368590</v>
      </c>
      <c r="O25" s="16">
        <f t="shared" si="5"/>
        <v>44132</v>
      </c>
      <c r="P25" s="16">
        <f t="shared" si="5"/>
        <v>417733</v>
      </c>
      <c r="Q25" s="16">
        <f t="shared" si="5"/>
        <v>27237</v>
      </c>
      <c r="R25" s="16">
        <f t="shared" si="5"/>
        <v>0</v>
      </c>
      <c r="S25" s="16">
        <f t="shared" si="5"/>
        <v>859561</v>
      </c>
      <c r="T25" s="16">
        <f t="shared" si="5"/>
        <v>866489</v>
      </c>
      <c r="U25" s="16">
        <f t="shared" si="5"/>
        <v>867170</v>
      </c>
      <c r="V25" s="16">
        <f>V14-V24</f>
        <v>710681</v>
      </c>
      <c r="W25" s="16">
        <f t="shared" si="5"/>
        <v>0</v>
      </c>
      <c r="X25" s="16">
        <f t="shared" si="5"/>
        <v>0</v>
      </c>
      <c r="Y25" s="16">
        <f t="shared" si="5"/>
        <v>0</v>
      </c>
      <c r="Z25" s="16">
        <f t="shared" si="5"/>
        <v>0</v>
      </c>
      <c r="AA25" s="16">
        <f t="shared" si="5"/>
        <v>0</v>
      </c>
      <c r="AB25" s="16">
        <f t="shared" si="5"/>
        <v>0</v>
      </c>
      <c r="AC25" s="16">
        <f t="shared" si="5"/>
        <v>0</v>
      </c>
      <c r="AD25" s="16">
        <f t="shared" si="5"/>
        <v>0</v>
      </c>
      <c r="AE25" s="16">
        <f t="shared" si="5"/>
        <v>0</v>
      </c>
      <c r="AF25" s="16">
        <f t="shared" si="5"/>
        <v>0</v>
      </c>
      <c r="AG25" s="16">
        <f t="shared" si="5"/>
        <v>639113</v>
      </c>
      <c r="AH25" s="16">
        <f t="shared" si="5"/>
        <v>626259</v>
      </c>
      <c r="AI25" s="16">
        <f t="shared" si="5"/>
        <v>2059012</v>
      </c>
      <c r="AJ25" s="16">
        <f t="shared" si="5"/>
        <v>1431869</v>
      </c>
      <c r="AK25" s="16">
        <f t="shared" si="5"/>
        <v>0</v>
      </c>
    </row>
    <row r="26" spans="1:37" x14ac:dyDescent="0.3">
      <c r="A26" t="s">
        <v>179</v>
      </c>
      <c r="B26" s="1" t="s">
        <v>180</v>
      </c>
      <c r="C26" s="1" t="s">
        <v>72</v>
      </c>
      <c r="E26" s="20">
        <v>385974</v>
      </c>
      <c r="F26" s="20">
        <v>236884</v>
      </c>
      <c r="G26" s="13">
        <v>110298</v>
      </c>
      <c r="H26" s="13">
        <v>76621</v>
      </c>
      <c r="I26" s="13">
        <v>114397</v>
      </c>
      <c r="J26" s="13">
        <v>81487</v>
      </c>
      <c r="K26" s="13">
        <v>134282</v>
      </c>
      <c r="L26" s="13">
        <v>126127</v>
      </c>
      <c r="M26" s="13">
        <v>98875</v>
      </c>
      <c r="N26" s="13">
        <v>153071</v>
      </c>
      <c r="O26" s="13">
        <v>106504</v>
      </c>
      <c r="P26" s="13">
        <v>149391</v>
      </c>
      <c r="Q26" s="13">
        <v>2000</v>
      </c>
      <c r="R26" s="13"/>
      <c r="S26" s="13">
        <v>196399</v>
      </c>
      <c r="T26" s="13">
        <v>114680</v>
      </c>
      <c r="U26" s="13">
        <v>59090</v>
      </c>
      <c r="V26" s="13">
        <v>107892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>
        <v>78438</v>
      </c>
      <c r="AH26" s="13">
        <v>95549</v>
      </c>
      <c r="AI26" s="13">
        <v>91591</v>
      </c>
      <c r="AJ26" s="13">
        <v>87630</v>
      </c>
      <c r="AK26" s="13"/>
    </row>
    <row r="27" spans="1:37" x14ac:dyDescent="0.3">
      <c r="A27" t="s">
        <v>179</v>
      </c>
      <c r="B27" s="1" t="s">
        <v>180</v>
      </c>
      <c r="C27" s="1" t="s">
        <v>72</v>
      </c>
      <c r="E27" s="20">
        <v>-430693</v>
      </c>
      <c r="F27" s="20">
        <v>-477434</v>
      </c>
      <c r="G27" s="13">
        <v>-274674</v>
      </c>
      <c r="H27" s="13">
        <v>-269565</v>
      </c>
      <c r="I27" s="13">
        <v>-267342</v>
      </c>
      <c r="J27" s="13">
        <v>-267219</v>
      </c>
      <c r="K27" s="13">
        <v>-467158</v>
      </c>
      <c r="L27" s="13">
        <v>-530273</v>
      </c>
      <c r="M27" s="13">
        <v>-345075</v>
      </c>
      <c r="N27" s="13">
        <v>-547965</v>
      </c>
      <c r="O27" s="13">
        <v>-578695</v>
      </c>
      <c r="P27" s="13">
        <v>-601373</v>
      </c>
      <c r="Q27" s="13">
        <v>46000</v>
      </c>
      <c r="R27" s="13"/>
      <c r="S27" s="13">
        <v>-637251</v>
      </c>
      <c r="T27" s="13">
        <v>-684480</v>
      </c>
      <c r="U27" s="13">
        <v>-634545</v>
      </c>
      <c r="V27" s="15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>
        <v>-562862</v>
      </c>
      <c r="AH27" s="13">
        <v>-522176</v>
      </c>
      <c r="AI27" s="13">
        <v>-463251</v>
      </c>
      <c r="AJ27" s="13">
        <v>-608502</v>
      </c>
      <c r="AK27" s="13"/>
    </row>
    <row r="28" spans="1:37" x14ac:dyDescent="0.3">
      <c r="A28" t="s">
        <v>179</v>
      </c>
      <c r="B28" s="1" t="s">
        <v>180</v>
      </c>
      <c r="C28" s="1" t="s">
        <v>72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>
        <v>73637</v>
      </c>
      <c r="R28" s="13"/>
      <c r="S28" s="13"/>
      <c r="T28" s="13"/>
      <c r="U28" s="13"/>
      <c r="V28" s="16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x14ac:dyDescent="0.3">
      <c r="A29" t="s">
        <v>179</v>
      </c>
      <c r="B29" s="1" t="s">
        <v>180</v>
      </c>
      <c r="C29" s="1" t="s">
        <v>72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1:37" x14ac:dyDescent="0.3">
      <c r="A30" t="s">
        <v>179</v>
      </c>
      <c r="B30" s="1" t="s">
        <v>180</v>
      </c>
      <c r="C30" s="1" t="s">
        <v>72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1:37" x14ac:dyDescent="0.3">
      <c r="A31" t="s">
        <v>179</v>
      </c>
      <c r="B31" s="1" t="s">
        <v>180</v>
      </c>
      <c r="C31" s="7" t="s">
        <v>72</v>
      </c>
      <c r="D31" s="7" t="s">
        <v>74</v>
      </c>
      <c r="E31" s="15">
        <f t="shared" ref="E31:AI31" si="6">SUM(E26:E30)</f>
        <v>-44719</v>
      </c>
      <c r="F31" s="15">
        <f t="shared" si="6"/>
        <v>-240550</v>
      </c>
      <c r="G31" s="15">
        <f t="shared" si="6"/>
        <v>-164376</v>
      </c>
      <c r="H31" s="15">
        <f t="shared" si="6"/>
        <v>-192944</v>
      </c>
      <c r="I31" s="15">
        <f t="shared" si="6"/>
        <v>-152945</v>
      </c>
      <c r="J31" s="15">
        <f t="shared" si="6"/>
        <v>-185732</v>
      </c>
      <c r="K31" s="15">
        <f t="shared" si="6"/>
        <v>-332876</v>
      </c>
      <c r="L31" s="15">
        <f t="shared" si="6"/>
        <v>-404146</v>
      </c>
      <c r="M31" s="15">
        <f t="shared" si="6"/>
        <v>-246200</v>
      </c>
      <c r="N31" s="15">
        <f t="shared" si="6"/>
        <v>-394894</v>
      </c>
      <c r="O31" s="15">
        <f t="shared" si="6"/>
        <v>-472191</v>
      </c>
      <c r="P31" s="15">
        <f t="shared" si="6"/>
        <v>-451982</v>
      </c>
      <c r="Q31" s="15">
        <f t="shared" si="6"/>
        <v>121637</v>
      </c>
      <c r="R31" s="15">
        <f t="shared" si="6"/>
        <v>0</v>
      </c>
      <c r="S31" s="15">
        <f t="shared" si="6"/>
        <v>-440852</v>
      </c>
      <c r="T31" s="15">
        <f t="shared" si="6"/>
        <v>-569800</v>
      </c>
      <c r="U31" s="15">
        <f t="shared" si="6"/>
        <v>-575455</v>
      </c>
      <c r="V31" s="15">
        <f t="shared" si="6"/>
        <v>107892</v>
      </c>
      <c r="W31" s="15">
        <f t="shared" si="6"/>
        <v>0</v>
      </c>
      <c r="X31" s="15">
        <f t="shared" si="6"/>
        <v>0</v>
      </c>
      <c r="Y31" s="15">
        <f t="shared" si="6"/>
        <v>0</v>
      </c>
      <c r="Z31" s="15">
        <f t="shared" si="6"/>
        <v>0</v>
      </c>
      <c r="AA31" s="15">
        <f t="shared" si="6"/>
        <v>0</v>
      </c>
      <c r="AB31" s="15">
        <f t="shared" si="6"/>
        <v>0</v>
      </c>
      <c r="AC31" s="15">
        <f t="shared" si="6"/>
        <v>0</v>
      </c>
      <c r="AD31" s="15">
        <f t="shared" si="6"/>
        <v>0</v>
      </c>
      <c r="AE31" s="15">
        <f t="shared" si="6"/>
        <v>0</v>
      </c>
      <c r="AF31" s="15">
        <f t="shared" si="6"/>
        <v>0</v>
      </c>
      <c r="AG31" s="15">
        <f t="shared" si="6"/>
        <v>-484424</v>
      </c>
      <c r="AH31" s="15">
        <f t="shared" si="6"/>
        <v>-426627</v>
      </c>
      <c r="AI31" s="15">
        <f t="shared" si="6"/>
        <v>-371660</v>
      </c>
      <c r="AJ31" s="15">
        <f>SUM(AJ26:AJ30)</f>
        <v>-520872</v>
      </c>
      <c r="AK31" s="15">
        <f>SUM(AK25:AK30)</f>
        <v>0</v>
      </c>
    </row>
    <row r="32" spans="1:37" x14ac:dyDescent="0.3">
      <c r="A32" t="s">
        <v>179</v>
      </c>
      <c r="B32" s="1" t="s">
        <v>180</v>
      </c>
      <c r="C32" s="7" t="s">
        <v>75</v>
      </c>
      <c r="D32" s="7" t="s">
        <v>76</v>
      </c>
      <c r="E32" s="7"/>
      <c r="F32" s="7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3">
      <c r="A33" t="s">
        <v>179</v>
      </c>
      <c r="B33" s="1" t="s">
        <v>180</v>
      </c>
      <c r="C33" s="7" t="s">
        <v>77</v>
      </c>
      <c r="D33" s="7" t="s">
        <v>77</v>
      </c>
      <c r="E33" s="15">
        <f t="shared" ref="E33:AI33" si="7">SUM(E25,E31)</f>
        <v>37655</v>
      </c>
      <c r="F33" s="15">
        <f t="shared" si="7"/>
        <v>1678</v>
      </c>
      <c r="G33" s="15">
        <f t="shared" si="7"/>
        <v>200477</v>
      </c>
      <c r="H33" s="15">
        <f t="shared" si="7"/>
        <v>-68794</v>
      </c>
      <c r="I33" s="15">
        <f t="shared" si="7"/>
        <v>54153</v>
      </c>
      <c r="J33" s="15">
        <f t="shared" si="7"/>
        <v>25109</v>
      </c>
      <c r="K33" s="15">
        <f t="shared" si="7"/>
        <v>97728</v>
      </c>
      <c r="L33" s="15">
        <f>SUM(L25,L31)</f>
        <v>39064</v>
      </c>
      <c r="M33" s="15">
        <f t="shared" si="7"/>
        <v>273958</v>
      </c>
      <c r="N33" s="15">
        <f t="shared" si="7"/>
        <v>-26304</v>
      </c>
      <c r="O33" s="15">
        <f t="shared" si="7"/>
        <v>-428059</v>
      </c>
      <c r="P33" s="15">
        <f t="shared" si="7"/>
        <v>-34249</v>
      </c>
      <c r="Q33" s="15">
        <f>SUM(Q25,Q31)</f>
        <v>148874</v>
      </c>
      <c r="R33" s="15">
        <f t="shared" si="7"/>
        <v>0</v>
      </c>
      <c r="S33" s="15">
        <f t="shared" si="7"/>
        <v>418709</v>
      </c>
      <c r="T33" s="15">
        <f t="shared" si="7"/>
        <v>296689</v>
      </c>
      <c r="U33" s="15">
        <f t="shared" si="7"/>
        <v>291715</v>
      </c>
      <c r="V33" s="15">
        <f>SUM(V25,V31)</f>
        <v>818573</v>
      </c>
      <c r="W33" s="15">
        <f t="shared" si="7"/>
        <v>0</v>
      </c>
      <c r="X33" s="15">
        <f t="shared" si="7"/>
        <v>0</v>
      </c>
      <c r="Y33" s="15">
        <f t="shared" si="7"/>
        <v>0</v>
      </c>
      <c r="Z33" s="15">
        <f t="shared" si="7"/>
        <v>0</v>
      </c>
      <c r="AA33" s="15">
        <f t="shared" si="7"/>
        <v>0</v>
      </c>
      <c r="AB33" s="15">
        <f t="shared" si="7"/>
        <v>0</v>
      </c>
      <c r="AC33" s="15">
        <f t="shared" si="7"/>
        <v>0</v>
      </c>
      <c r="AD33" s="15">
        <f t="shared" si="7"/>
        <v>0</v>
      </c>
      <c r="AE33" s="15">
        <f t="shared" si="7"/>
        <v>0</v>
      </c>
      <c r="AF33" s="15">
        <f t="shared" si="7"/>
        <v>0</v>
      </c>
      <c r="AG33" s="15">
        <f t="shared" si="7"/>
        <v>154689</v>
      </c>
      <c r="AH33" s="15">
        <f t="shared" si="7"/>
        <v>199632</v>
      </c>
      <c r="AI33" s="15">
        <f t="shared" si="7"/>
        <v>1687352</v>
      </c>
      <c r="AJ33" s="15">
        <f>SUM(AJ25,AJ31)</f>
        <v>910997</v>
      </c>
      <c r="AK33" s="15"/>
    </row>
    <row r="34" spans="1:37" x14ac:dyDescent="0.3">
      <c r="A34" t="s">
        <v>179</v>
      </c>
      <c r="B34" s="1" t="s">
        <v>180</v>
      </c>
      <c r="C34" s="7" t="s">
        <v>78</v>
      </c>
      <c r="D34" s="7" t="s">
        <v>79</v>
      </c>
      <c r="E34" s="7"/>
      <c r="F34" s="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>
        <v>5516769</v>
      </c>
      <c r="AH34" s="15">
        <v>6878275</v>
      </c>
      <c r="AI34" s="15">
        <v>7077907</v>
      </c>
      <c r="AJ34" s="15">
        <v>8765259</v>
      </c>
      <c r="AK34" s="15"/>
    </row>
    <row r="35" spans="1:37" x14ac:dyDescent="0.3">
      <c r="A35" t="s">
        <v>179</v>
      </c>
      <c r="B35" s="1" t="s">
        <v>180</v>
      </c>
      <c r="C35" s="7" t="s">
        <v>78</v>
      </c>
      <c r="D35" s="7" t="s">
        <v>80</v>
      </c>
      <c r="E35" s="7"/>
      <c r="F35" s="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>
        <v>5671458</v>
      </c>
      <c r="AH35" s="15">
        <v>7077907</v>
      </c>
      <c r="AI35" s="15">
        <v>8765259</v>
      </c>
      <c r="AJ35" s="15">
        <v>9676256</v>
      </c>
      <c r="AK35" s="15"/>
    </row>
    <row r="36" spans="1:37" x14ac:dyDescent="0.3">
      <c r="A36" t="s">
        <v>179</v>
      </c>
      <c r="B36" s="1" t="s">
        <v>180</v>
      </c>
      <c r="C36" s="7" t="s">
        <v>81</v>
      </c>
      <c r="D36" s="7" t="s">
        <v>81</v>
      </c>
      <c r="E36" s="15">
        <f t="shared" ref="E36:AI36" si="8">E34-E35</f>
        <v>0</v>
      </c>
      <c r="F36" s="15">
        <f t="shared" si="8"/>
        <v>0</v>
      </c>
      <c r="G36" s="15">
        <f t="shared" si="8"/>
        <v>0</v>
      </c>
      <c r="H36" s="15">
        <f t="shared" si="8"/>
        <v>0</v>
      </c>
      <c r="I36" s="15">
        <f t="shared" si="8"/>
        <v>0</v>
      </c>
      <c r="J36" s="15">
        <f t="shared" si="8"/>
        <v>0</v>
      </c>
      <c r="K36" s="15">
        <f t="shared" si="8"/>
        <v>0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5">
        <f t="shared" si="8"/>
        <v>0</v>
      </c>
      <c r="Q36" s="15">
        <f t="shared" si="8"/>
        <v>0</v>
      </c>
      <c r="R36" s="15">
        <f t="shared" si="8"/>
        <v>0</v>
      </c>
      <c r="S36" s="15">
        <f t="shared" si="8"/>
        <v>0</v>
      </c>
      <c r="T36" s="15">
        <f t="shared" si="8"/>
        <v>0</v>
      </c>
      <c r="U36" s="15">
        <f t="shared" si="8"/>
        <v>0</v>
      </c>
      <c r="V36" s="15">
        <f t="shared" si="8"/>
        <v>0</v>
      </c>
      <c r="W36" s="15">
        <f t="shared" si="8"/>
        <v>0</v>
      </c>
      <c r="X36" s="15">
        <f t="shared" si="8"/>
        <v>0</v>
      </c>
      <c r="Y36" s="15">
        <f t="shared" si="8"/>
        <v>0</v>
      </c>
      <c r="Z36" s="15">
        <f t="shared" si="8"/>
        <v>0</v>
      </c>
      <c r="AA36" s="15">
        <f t="shared" si="8"/>
        <v>0</v>
      </c>
      <c r="AB36" s="15">
        <f t="shared" si="8"/>
        <v>0</v>
      </c>
      <c r="AC36" s="15">
        <f t="shared" si="8"/>
        <v>0</v>
      </c>
      <c r="AD36" s="15">
        <f t="shared" si="8"/>
        <v>0</v>
      </c>
      <c r="AE36" s="15">
        <f t="shared" si="8"/>
        <v>0</v>
      </c>
      <c r="AF36" s="15">
        <f t="shared" si="8"/>
        <v>0</v>
      </c>
      <c r="AG36" s="15">
        <f t="shared" si="8"/>
        <v>-154689</v>
      </c>
      <c r="AH36" s="15">
        <f t="shared" si="8"/>
        <v>-199632</v>
      </c>
      <c r="AI36" s="15">
        <f t="shared" si="8"/>
        <v>-1687352</v>
      </c>
      <c r="AJ36" s="15">
        <f>AJ34-AJ35</f>
        <v>-910997</v>
      </c>
      <c r="AK36" s="15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K72"/>
  <sheetViews>
    <sheetView workbookViewId="0">
      <pane xSplit="12" ySplit="9" topLeftCell="M30" activePane="bottomRight" state="frozen"/>
      <selection pane="topRight" activeCell="K1" sqref="K1"/>
      <selection pane="bottomLeft" activeCell="A9" sqref="A9"/>
      <selection pane="bottomRight" activeCell="D37" sqref="D37:E37"/>
    </sheetView>
  </sheetViews>
  <sheetFormatPr defaultRowHeight="14.4" x14ac:dyDescent="0.3"/>
  <cols>
    <col min="1" max="2" width="8.88671875" style="1"/>
    <col min="3" max="3" width="19" style="1" customWidth="1"/>
    <col min="4" max="4" width="30.33203125" style="1" customWidth="1"/>
    <col min="5" max="5" width="10.77734375" style="1" customWidth="1"/>
    <col min="6" max="6" width="11.88671875" style="1" customWidth="1"/>
    <col min="7" max="7" width="11.5546875" style="1" customWidth="1"/>
    <col min="8" max="8" width="10.5546875" style="1" customWidth="1"/>
    <col min="9" max="10" width="11" style="1" bestFit="1" customWidth="1"/>
    <col min="11" max="11" width="11.44140625" style="1" bestFit="1" customWidth="1"/>
    <col min="12" max="12" width="13.109375" style="1" bestFit="1" customWidth="1"/>
    <col min="13" max="16" width="13.21875" style="1" bestFit="1" customWidth="1"/>
    <col min="17" max="18" width="8.88671875" style="1"/>
    <col min="19" max="19" width="11.88671875" style="1" customWidth="1"/>
    <col min="20" max="20" width="12" style="1" customWidth="1"/>
    <col min="21" max="21" width="11.44140625" style="1" bestFit="1" customWidth="1"/>
    <col min="22" max="34" width="8.88671875" style="1"/>
    <col min="35" max="35" width="11.44140625" style="1" customWidth="1"/>
    <col min="36" max="36" width="12.109375" style="1" bestFit="1" customWidth="1"/>
    <col min="37" max="16384" width="8.88671875" style="1"/>
  </cols>
  <sheetData>
    <row r="1" spans="1:37" x14ac:dyDescent="0.3">
      <c r="G1" s="10"/>
      <c r="H1" s="11" t="s">
        <v>33</v>
      </c>
      <c r="I1" s="12"/>
      <c r="J1" s="12"/>
      <c r="K1" s="12"/>
      <c r="L1" s="12"/>
      <c r="M1" s="12"/>
      <c r="N1" s="10"/>
      <c r="O1" s="10"/>
      <c r="P1" s="10"/>
      <c r="Q1" s="10"/>
      <c r="R1" s="13"/>
      <c r="S1" s="13"/>
      <c r="T1" s="13"/>
      <c r="U1" s="13"/>
      <c r="V1" s="13"/>
      <c r="W1" s="13"/>
      <c r="X1" s="13"/>
      <c r="Y1" s="13"/>
      <c r="Z1" s="13"/>
      <c r="AA1" s="14" t="s">
        <v>34</v>
      </c>
      <c r="AB1" s="13"/>
      <c r="AC1" s="13"/>
      <c r="AD1" s="13"/>
      <c r="AE1" s="14" t="s">
        <v>35</v>
      </c>
      <c r="AF1" s="13"/>
      <c r="AG1" s="13"/>
      <c r="AH1" s="13"/>
      <c r="AI1" s="13"/>
      <c r="AJ1" s="13"/>
    </row>
    <row r="2" spans="1:37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494</v>
      </c>
      <c r="F2" s="2" t="s">
        <v>493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60</v>
      </c>
      <c r="AD2" s="5" t="s">
        <v>61</v>
      </c>
      <c r="AE2" s="5" t="s">
        <v>62</v>
      </c>
      <c r="AF2" s="5" t="s">
        <v>63</v>
      </c>
      <c r="AG2" s="5" t="s">
        <v>64</v>
      </c>
      <c r="AH2" s="5" t="s">
        <v>65</v>
      </c>
      <c r="AI2" s="5" t="s">
        <v>66</v>
      </c>
      <c r="AJ2" s="5" t="s">
        <v>67</v>
      </c>
      <c r="AK2" s="5" t="s">
        <v>82</v>
      </c>
    </row>
    <row r="3" spans="1:37" x14ac:dyDescent="0.3">
      <c r="A3" t="s">
        <v>179</v>
      </c>
      <c r="B3" s="1" t="s">
        <v>180</v>
      </c>
      <c r="C3" s="1" t="s">
        <v>160</v>
      </c>
      <c r="D3" s="1" t="s">
        <v>343</v>
      </c>
      <c r="E3" s="1">
        <v>65275</v>
      </c>
      <c r="F3" s="1">
        <v>396328</v>
      </c>
      <c r="G3" s="10">
        <f>89660+127256</f>
        <v>216916</v>
      </c>
      <c r="H3" s="10">
        <f>355862+149287+10450</f>
        <v>515599</v>
      </c>
      <c r="I3" s="10">
        <f>127651+167366+1556</f>
        <v>296573</v>
      </c>
      <c r="J3" s="10">
        <f>169758+163205</f>
        <v>332963</v>
      </c>
      <c r="K3" s="10">
        <f>220788+116439</f>
        <v>337227</v>
      </c>
      <c r="L3" s="10">
        <v>738673</v>
      </c>
      <c r="M3" s="10">
        <v>715480</v>
      </c>
      <c r="N3" s="10">
        <v>481388</v>
      </c>
      <c r="O3" s="10">
        <v>80587</v>
      </c>
      <c r="P3" s="10">
        <v>58752</v>
      </c>
      <c r="Q3" s="10"/>
      <c r="R3" s="13"/>
      <c r="S3" s="13">
        <v>273316</v>
      </c>
      <c r="T3" s="13">
        <v>209546</v>
      </c>
      <c r="U3" s="13">
        <v>212666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>
        <v>1168842</v>
      </c>
      <c r="AJ3" s="13">
        <v>1978884</v>
      </c>
      <c r="AK3" s="13"/>
    </row>
    <row r="4" spans="1:37" x14ac:dyDescent="0.3">
      <c r="A4" t="s">
        <v>179</v>
      </c>
      <c r="B4" s="1" t="s">
        <v>180</v>
      </c>
      <c r="C4" s="1" t="s">
        <v>160</v>
      </c>
      <c r="D4" s="1" t="s">
        <v>307</v>
      </c>
      <c r="E4" s="1">
        <v>137000</v>
      </c>
      <c r="G4" s="10">
        <v>383536</v>
      </c>
      <c r="H4" s="10">
        <v>33224</v>
      </c>
      <c r="I4" s="10">
        <v>134970</v>
      </c>
      <c r="J4" s="10">
        <v>0</v>
      </c>
      <c r="K4" s="10">
        <v>254700</v>
      </c>
      <c r="L4" s="10">
        <v>261986</v>
      </c>
      <c r="M4" s="10">
        <v>670122</v>
      </c>
      <c r="N4" s="10">
        <v>699362</v>
      </c>
      <c r="O4" s="10">
        <v>787280</v>
      </c>
      <c r="P4" s="10">
        <v>720772</v>
      </c>
      <c r="Q4" s="10"/>
      <c r="R4" s="13"/>
      <c r="S4" s="13">
        <v>1282989</v>
      </c>
      <c r="T4" s="13">
        <v>1358939</v>
      </c>
      <c r="U4" s="13">
        <v>957595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 x14ac:dyDescent="0.3">
      <c r="A5" t="s">
        <v>179</v>
      </c>
      <c r="B5" s="1" t="s">
        <v>180</v>
      </c>
      <c r="C5" s="1" t="s">
        <v>160</v>
      </c>
      <c r="D5" s="1" t="s">
        <v>304</v>
      </c>
      <c r="E5" s="20">
        <v>448312</v>
      </c>
      <c r="F5" s="20">
        <v>535295</v>
      </c>
      <c r="G5" s="10">
        <v>523692</v>
      </c>
      <c r="H5" s="10">
        <v>541095</v>
      </c>
      <c r="I5" s="10">
        <v>609916</v>
      </c>
      <c r="J5" s="10">
        <v>737623</v>
      </c>
      <c r="K5" s="10">
        <v>592021</v>
      </c>
      <c r="L5" s="10">
        <v>563490</v>
      </c>
      <c r="M5" s="10">
        <v>538318</v>
      </c>
      <c r="N5" s="10">
        <v>303531</v>
      </c>
      <c r="O5" s="10">
        <v>278028</v>
      </c>
      <c r="P5" s="10">
        <v>321891</v>
      </c>
      <c r="Q5" s="10"/>
      <c r="R5" s="13"/>
      <c r="S5" s="13">
        <v>451964</v>
      </c>
      <c r="T5" s="13">
        <v>600888</v>
      </c>
      <c r="U5" s="13">
        <v>660960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v>1226384</v>
      </c>
      <c r="AJ5" s="13">
        <v>916263</v>
      </c>
      <c r="AK5" s="13"/>
    </row>
    <row r="6" spans="1:37" x14ac:dyDescent="0.3">
      <c r="A6" t="s">
        <v>179</v>
      </c>
      <c r="B6" s="1" t="s">
        <v>180</v>
      </c>
      <c r="C6" s="1" t="s">
        <v>160</v>
      </c>
      <c r="D6" s="1" t="s">
        <v>414</v>
      </c>
      <c r="G6" s="10"/>
      <c r="H6" s="10"/>
      <c r="I6" s="10"/>
      <c r="J6" s="10"/>
      <c r="K6" s="10"/>
      <c r="L6" s="10">
        <v>0</v>
      </c>
      <c r="M6" s="10">
        <v>0</v>
      </c>
      <c r="N6" s="10">
        <v>210563</v>
      </c>
      <c r="O6" s="10">
        <v>226417</v>
      </c>
      <c r="P6" s="10">
        <v>267215</v>
      </c>
      <c r="Q6" s="10"/>
      <c r="R6" s="13"/>
      <c r="S6" s="13">
        <v>332035</v>
      </c>
      <c r="T6" s="13">
        <v>366825</v>
      </c>
      <c r="U6" s="13">
        <v>321385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549898</v>
      </c>
      <c r="AJ6" s="13">
        <v>541170</v>
      </c>
      <c r="AK6" s="13"/>
    </row>
    <row r="7" spans="1:37" x14ac:dyDescent="0.3">
      <c r="A7" t="s">
        <v>179</v>
      </c>
      <c r="B7" s="1" t="s">
        <v>180</v>
      </c>
      <c r="C7" s="1" t="s">
        <v>160</v>
      </c>
      <c r="D7" s="1" t="s">
        <v>305</v>
      </c>
      <c r="E7" s="20">
        <v>46435</v>
      </c>
      <c r="F7" s="20">
        <v>48409</v>
      </c>
      <c r="G7" s="10">
        <v>56006</v>
      </c>
      <c r="H7" s="10">
        <v>69254</v>
      </c>
      <c r="I7" s="10">
        <v>81244</v>
      </c>
      <c r="J7" s="10">
        <v>90623</v>
      </c>
      <c r="K7" s="10">
        <v>108148</v>
      </c>
      <c r="L7" s="10">
        <v>131376</v>
      </c>
      <c r="M7" s="10">
        <v>150073</v>
      </c>
      <c r="N7" s="10">
        <v>150000</v>
      </c>
      <c r="O7" s="10">
        <v>150000</v>
      </c>
      <c r="P7" s="10">
        <v>150000</v>
      </c>
      <c r="Q7" s="10"/>
      <c r="R7" s="13"/>
      <c r="S7" s="13">
        <v>150000</v>
      </c>
      <c r="T7" s="13">
        <v>150000</v>
      </c>
      <c r="U7" s="13">
        <v>150000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v>150000</v>
      </c>
      <c r="AJ7" s="13">
        <v>150000</v>
      </c>
      <c r="AK7" s="13"/>
    </row>
    <row r="8" spans="1:37" x14ac:dyDescent="0.3">
      <c r="A8" t="s">
        <v>179</v>
      </c>
      <c r="B8" s="1" t="s">
        <v>180</v>
      </c>
      <c r="C8" s="1" t="s">
        <v>160</v>
      </c>
      <c r="D8" s="1" t="s">
        <v>306</v>
      </c>
      <c r="E8" s="20">
        <v>28125</v>
      </c>
      <c r="F8" s="1">
        <v>22222</v>
      </c>
      <c r="G8" s="10">
        <v>49067</v>
      </c>
      <c r="H8" s="10">
        <v>58475</v>
      </c>
      <c r="I8" s="10">
        <v>99956</v>
      </c>
      <c r="J8" s="10">
        <v>117426</v>
      </c>
      <c r="K8" s="10">
        <v>159202</v>
      </c>
      <c r="L8" s="10">
        <v>135956</v>
      </c>
      <c r="M8" s="10">
        <v>163708</v>
      </c>
      <c r="N8" s="10">
        <v>217231</v>
      </c>
      <c r="O8" s="10">
        <v>230006</v>
      </c>
      <c r="P8" s="10">
        <v>236191</v>
      </c>
      <c r="Q8" s="10"/>
      <c r="R8" s="13"/>
      <c r="S8" s="13">
        <v>133656</v>
      </c>
      <c r="T8" s="13">
        <v>174870</v>
      </c>
      <c r="U8" s="13">
        <v>159542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v>39947</v>
      </c>
      <c r="AJ8" s="13">
        <v>39216</v>
      </c>
      <c r="AK8" s="13"/>
    </row>
    <row r="9" spans="1:37" x14ac:dyDescent="0.3">
      <c r="A9" t="s">
        <v>179</v>
      </c>
      <c r="B9" s="1" t="s">
        <v>180</v>
      </c>
      <c r="C9" s="1" t="s">
        <v>160</v>
      </c>
      <c r="D9" s="1" t="s">
        <v>466</v>
      </c>
      <c r="E9" s="20">
        <v>339792</v>
      </c>
      <c r="F9" s="20">
        <v>532197</v>
      </c>
      <c r="G9" s="10">
        <v>670727</v>
      </c>
      <c r="H9" s="10">
        <v>670727</v>
      </c>
      <c r="I9" s="10">
        <v>677654</v>
      </c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x14ac:dyDescent="0.3">
      <c r="A10" t="s">
        <v>179</v>
      </c>
      <c r="B10" s="1" t="s">
        <v>180</v>
      </c>
      <c r="C10" s="1" t="s">
        <v>160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x14ac:dyDescent="0.3">
      <c r="A11" t="s">
        <v>179</v>
      </c>
      <c r="B11" s="1" t="s">
        <v>180</v>
      </c>
      <c r="C11" s="1" t="s">
        <v>160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x14ac:dyDescent="0.3">
      <c r="A12" t="s">
        <v>179</v>
      </c>
      <c r="B12" s="1" t="s">
        <v>180</v>
      </c>
      <c r="C12" s="1" t="s">
        <v>160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x14ac:dyDescent="0.3">
      <c r="A13" t="s">
        <v>179</v>
      </c>
      <c r="B13" s="1" t="s">
        <v>180</v>
      </c>
      <c r="C13" s="7" t="s">
        <v>160</v>
      </c>
      <c r="D13" s="16"/>
      <c r="E13" s="16">
        <f t="shared" ref="E13:AI13" si="0">SUM(E3:E12)</f>
        <v>1064939</v>
      </c>
      <c r="F13" s="16">
        <f t="shared" si="0"/>
        <v>1534451</v>
      </c>
      <c r="G13" s="16">
        <f t="shared" si="0"/>
        <v>1899944</v>
      </c>
      <c r="H13" s="16">
        <f t="shared" si="0"/>
        <v>1888374</v>
      </c>
      <c r="I13" s="16">
        <f t="shared" ref="I13:P13" si="1">SUM(I3:I12)</f>
        <v>1900313</v>
      </c>
      <c r="J13" s="16">
        <f t="shared" si="1"/>
        <v>1278635</v>
      </c>
      <c r="K13" s="16">
        <f t="shared" si="1"/>
        <v>1451298</v>
      </c>
      <c r="L13" s="16">
        <f t="shared" si="1"/>
        <v>1831481</v>
      </c>
      <c r="M13" s="16">
        <f t="shared" si="1"/>
        <v>2237701</v>
      </c>
      <c r="N13" s="16">
        <f t="shared" si="1"/>
        <v>2062075</v>
      </c>
      <c r="O13" s="16">
        <f t="shared" si="1"/>
        <v>1752318</v>
      </c>
      <c r="P13" s="16">
        <f t="shared" si="1"/>
        <v>1754821</v>
      </c>
      <c r="Q13" s="16">
        <f t="shared" si="0"/>
        <v>0</v>
      </c>
      <c r="R13" s="16">
        <f t="shared" si="0"/>
        <v>0</v>
      </c>
      <c r="S13" s="16">
        <f>SUM(S3:S12)</f>
        <v>2623960</v>
      </c>
      <c r="T13" s="16">
        <f t="shared" si="0"/>
        <v>2861068</v>
      </c>
      <c r="U13" s="16">
        <f>SUM(U3:U12)</f>
        <v>2462148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 t="shared" si="0"/>
        <v>0</v>
      </c>
      <c r="AG13" s="16">
        <f t="shared" si="0"/>
        <v>0</v>
      </c>
      <c r="AH13" s="16">
        <f t="shared" si="0"/>
        <v>0</v>
      </c>
      <c r="AI13" s="16">
        <f t="shared" si="0"/>
        <v>3135071</v>
      </c>
      <c r="AJ13" s="16">
        <f>SUM(AJ3:AJ12)</f>
        <v>3625533</v>
      </c>
      <c r="AK13" s="16"/>
    </row>
    <row r="14" spans="1:37" s="19" customFormat="1" x14ac:dyDescent="0.3">
      <c r="A14" t="s">
        <v>179</v>
      </c>
      <c r="B14" s="1" t="s">
        <v>180</v>
      </c>
      <c r="C14" s="1" t="s">
        <v>161</v>
      </c>
      <c r="D14" s="42" t="s">
        <v>343</v>
      </c>
      <c r="I14" s="42">
        <v>0</v>
      </c>
      <c r="J14" s="42">
        <v>73598</v>
      </c>
      <c r="K14" s="42">
        <v>2321393</v>
      </c>
      <c r="L14" s="42">
        <v>1082163</v>
      </c>
      <c r="M14" s="42">
        <v>193492</v>
      </c>
      <c r="N14" s="42">
        <v>584697</v>
      </c>
      <c r="O14" s="42">
        <v>74776</v>
      </c>
      <c r="P14" s="42">
        <v>71113</v>
      </c>
      <c r="Q14" s="42"/>
      <c r="R14" s="42"/>
      <c r="S14" s="42">
        <v>776276</v>
      </c>
      <c r="T14" s="42">
        <v>0</v>
      </c>
      <c r="U14" s="42">
        <v>0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1:37" x14ac:dyDescent="0.3">
      <c r="A15" t="s">
        <v>179</v>
      </c>
      <c r="B15" s="1" t="s">
        <v>180</v>
      </c>
      <c r="C15" s="1" t="s">
        <v>161</v>
      </c>
      <c r="D15" s="1" t="s">
        <v>307</v>
      </c>
      <c r="G15" s="10"/>
      <c r="H15" s="10"/>
      <c r="I15" s="10">
        <v>0</v>
      </c>
      <c r="J15" s="10">
        <v>390846</v>
      </c>
      <c r="K15" s="10">
        <v>662097</v>
      </c>
      <c r="L15" s="10">
        <v>661638</v>
      </c>
      <c r="M15" s="10">
        <v>893165</v>
      </c>
      <c r="N15" s="10">
        <v>686333</v>
      </c>
      <c r="O15" s="10">
        <v>685991</v>
      </c>
      <c r="P15" s="10">
        <v>685948</v>
      </c>
      <c r="Q15" s="10"/>
      <c r="R15" s="13"/>
      <c r="S15" s="13">
        <v>0</v>
      </c>
      <c r="T15" s="13">
        <v>766767</v>
      </c>
      <c r="U15" s="13">
        <v>764584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v>697193</v>
      </c>
      <c r="AJ15" s="13">
        <v>1250046</v>
      </c>
      <c r="AK15" s="13"/>
    </row>
    <row r="16" spans="1:37" x14ac:dyDescent="0.3">
      <c r="A16" t="s">
        <v>179</v>
      </c>
      <c r="B16" s="1" t="s">
        <v>180</v>
      </c>
      <c r="C16" s="1" t="s">
        <v>161</v>
      </c>
      <c r="D16" s="19"/>
      <c r="E16" s="7"/>
      <c r="F16" s="7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3">
      <c r="A17" t="s">
        <v>179</v>
      </c>
      <c r="B17" s="1" t="s">
        <v>180</v>
      </c>
      <c r="C17" s="1" t="s">
        <v>161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x14ac:dyDescent="0.3">
      <c r="A18" t="s">
        <v>179</v>
      </c>
      <c r="B18" s="1" t="s">
        <v>180</v>
      </c>
      <c r="C18" s="1" t="s">
        <v>161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x14ac:dyDescent="0.3">
      <c r="A19" t="s">
        <v>179</v>
      </c>
      <c r="B19" s="1" t="s">
        <v>180</v>
      </c>
      <c r="C19" s="1" t="s">
        <v>161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1:37" x14ac:dyDescent="0.3">
      <c r="A20" t="s">
        <v>179</v>
      </c>
      <c r="B20" s="1" t="s">
        <v>180</v>
      </c>
      <c r="C20" s="7" t="s">
        <v>161</v>
      </c>
      <c r="D20" s="7"/>
      <c r="E20" s="16">
        <f t="shared" ref="E20:R20" si="2">SUM(E14:E19)</f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  <c r="J20" s="16">
        <f t="shared" si="2"/>
        <v>464444</v>
      </c>
      <c r="K20" s="16">
        <f t="shared" si="2"/>
        <v>2983490</v>
      </c>
      <c r="L20" s="16">
        <f t="shared" si="2"/>
        <v>1743801</v>
      </c>
      <c r="M20" s="16">
        <f t="shared" si="2"/>
        <v>1086657</v>
      </c>
      <c r="N20" s="16">
        <f t="shared" si="2"/>
        <v>1271030</v>
      </c>
      <c r="O20" s="16">
        <f t="shared" si="2"/>
        <v>760767</v>
      </c>
      <c r="P20" s="16">
        <f t="shared" si="2"/>
        <v>757061</v>
      </c>
      <c r="Q20" s="16">
        <f t="shared" si="2"/>
        <v>0</v>
      </c>
      <c r="R20" s="16">
        <f t="shared" si="2"/>
        <v>0</v>
      </c>
      <c r="S20" s="16">
        <f>SUM(S14:S19)</f>
        <v>776276</v>
      </c>
      <c r="T20" s="16">
        <f t="shared" ref="T20:AK20" si="3">SUM(T14:T19)</f>
        <v>766767</v>
      </c>
      <c r="U20" s="16">
        <f t="shared" si="3"/>
        <v>764584</v>
      </c>
      <c r="V20" s="16">
        <f t="shared" si="3"/>
        <v>0</v>
      </c>
      <c r="W20" s="16">
        <f t="shared" si="3"/>
        <v>0</v>
      </c>
      <c r="X20" s="16">
        <f t="shared" si="3"/>
        <v>0</v>
      </c>
      <c r="Y20" s="16">
        <f t="shared" si="3"/>
        <v>0</v>
      </c>
      <c r="Z20" s="16">
        <f t="shared" si="3"/>
        <v>0</v>
      </c>
      <c r="AA20" s="16">
        <f t="shared" si="3"/>
        <v>0</v>
      </c>
      <c r="AB20" s="16">
        <f t="shared" si="3"/>
        <v>0</v>
      </c>
      <c r="AC20" s="16">
        <f t="shared" si="3"/>
        <v>0</v>
      </c>
      <c r="AD20" s="16">
        <f t="shared" si="3"/>
        <v>0</v>
      </c>
      <c r="AE20" s="16">
        <f t="shared" si="3"/>
        <v>0</v>
      </c>
      <c r="AF20" s="16">
        <f t="shared" si="3"/>
        <v>0</v>
      </c>
      <c r="AG20" s="16">
        <f t="shared" si="3"/>
        <v>0</v>
      </c>
      <c r="AH20" s="16">
        <f t="shared" si="3"/>
        <v>0</v>
      </c>
      <c r="AI20" s="16">
        <f t="shared" si="3"/>
        <v>697193</v>
      </c>
      <c r="AJ20" s="16">
        <f t="shared" si="3"/>
        <v>1250046</v>
      </c>
      <c r="AK20" s="16">
        <f t="shared" si="3"/>
        <v>0</v>
      </c>
    </row>
    <row r="21" spans="1:37" x14ac:dyDescent="0.3">
      <c r="A21" t="s">
        <v>179</v>
      </c>
      <c r="B21" s="1" t="s">
        <v>180</v>
      </c>
      <c r="C21" s="1" t="s">
        <v>162</v>
      </c>
      <c r="D21" s="1" t="s">
        <v>308</v>
      </c>
      <c r="E21" s="50">
        <v>9415070</v>
      </c>
      <c r="F21" s="20">
        <v>9640524</v>
      </c>
      <c r="G21" s="13">
        <v>9897142</v>
      </c>
      <c r="H21" s="13">
        <v>9928340</v>
      </c>
      <c r="I21" s="13">
        <v>10080698</v>
      </c>
      <c r="J21" s="13">
        <v>10944937</v>
      </c>
      <c r="K21" s="13">
        <v>11011573</v>
      </c>
      <c r="L21" s="13">
        <v>12213101</v>
      </c>
      <c r="M21" s="13">
        <v>12329447</v>
      </c>
      <c r="N21" s="13">
        <v>14204332</v>
      </c>
      <c r="O21" s="13">
        <v>16643067</v>
      </c>
      <c r="P21" s="13">
        <v>16738117</v>
      </c>
      <c r="Q21" s="13"/>
      <c r="R21" s="13"/>
      <c r="S21" s="13">
        <v>20801038</v>
      </c>
      <c r="T21" s="13">
        <v>23394738</v>
      </c>
      <c r="U21" s="13">
        <v>24222549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v>59274860</v>
      </c>
      <c r="AJ21" s="13">
        <v>60131778</v>
      </c>
      <c r="AK21" s="13"/>
    </row>
    <row r="22" spans="1:37" x14ac:dyDescent="0.3">
      <c r="A22" t="s">
        <v>179</v>
      </c>
      <c r="B22" s="1" t="s">
        <v>180</v>
      </c>
      <c r="C22" s="1" t="s">
        <v>162</v>
      </c>
      <c r="D22" s="1" t="s">
        <v>309</v>
      </c>
      <c r="G22" s="13"/>
      <c r="H22" s="13">
        <v>742124</v>
      </c>
      <c r="I22" s="13">
        <v>812631</v>
      </c>
      <c r="J22" s="13">
        <v>87300</v>
      </c>
      <c r="K22" s="13">
        <v>1017296</v>
      </c>
      <c r="L22" s="13">
        <v>1128001</v>
      </c>
      <c r="M22" s="13">
        <v>2201530</v>
      </c>
      <c r="N22" s="13">
        <v>1733243</v>
      </c>
      <c r="O22" s="13">
        <v>0</v>
      </c>
      <c r="P22" s="13">
        <v>0</v>
      </c>
      <c r="Q22" s="13"/>
      <c r="R22" s="13"/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v>406926</v>
      </c>
      <c r="AJ22" s="13">
        <v>205570</v>
      </c>
      <c r="AK22" s="13"/>
    </row>
    <row r="23" spans="1:37" x14ac:dyDescent="0.3">
      <c r="A23" t="s">
        <v>179</v>
      </c>
      <c r="B23" s="1" t="s">
        <v>180</v>
      </c>
      <c r="C23" s="19" t="s">
        <v>162</v>
      </c>
      <c r="D23" s="19" t="s">
        <v>310</v>
      </c>
      <c r="E23" s="43">
        <v>-3703924</v>
      </c>
      <c r="F23" s="43">
        <v>-3897578</v>
      </c>
      <c r="G23" s="27">
        <v>-4080639</v>
      </c>
      <c r="H23" s="27">
        <v>-4266718</v>
      </c>
      <c r="I23" s="27">
        <v>-4459311</v>
      </c>
      <c r="J23" s="27">
        <v>-4664582</v>
      </c>
      <c r="K23" s="27">
        <v>-4880807</v>
      </c>
      <c r="L23" s="27">
        <v>-5110672</v>
      </c>
      <c r="M23" s="27">
        <v>-5311855</v>
      </c>
      <c r="N23" s="27">
        <v>-5529914</v>
      </c>
      <c r="O23" s="27">
        <v>-5803581</v>
      </c>
      <c r="P23" s="27">
        <v>-6086290</v>
      </c>
      <c r="Q23" s="27"/>
      <c r="R23" s="27"/>
      <c r="S23" s="27">
        <v>-6980997</v>
      </c>
      <c r="T23" s="13">
        <v>-7341845</v>
      </c>
      <c r="U23" s="27">
        <v>-7745969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-48507064</v>
      </c>
      <c r="AJ23" s="27">
        <v>-49316243</v>
      </c>
      <c r="AK23" s="15"/>
    </row>
    <row r="24" spans="1:37" x14ac:dyDescent="0.3">
      <c r="A24" t="s">
        <v>179</v>
      </c>
      <c r="B24" s="1" t="s">
        <v>180</v>
      </c>
      <c r="C24" s="1" t="s">
        <v>162</v>
      </c>
      <c r="D24" s="7"/>
      <c r="E24" s="7"/>
      <c r="F24" s="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 x14ac:dyDescent="0.3">
      <c r="A25" t="s">
        <v>179</v>
      </c>
      <c r="B25" s="1" t="s">
        <v>180</v>
      </c>
      <c r="C25" s="7" t="s">
        <v>162</v>
      </c>
      <c r="D25" s="7"/>
      <c r="E25" s="16">
        <f t="shared" ref="E25:AI25" si="4">SUM(E21:E24)</f>
        <v>5711146</v>
      </c>
      <c r="F25" s="16">
        <f t="shared" si="4"/>
        <v>5742946</v>
      </c>
      <c r="G25" s="16">
        <f t="shared" si="4"/>
        <v>5816503</v>
      </c>
      <c r="H25" s="16">
        <f t="shared" si="4"/>
        <v>6403746</v>
      </c>
      <c r="I25" s="16">
        <f t="shared" si="4"/>
        <v>6434018</v>
      </c>
      <c r="J25" s="16">
        <f t="shared" si="4"/>
        <v>6367655</v>
      </c>
      <c r="K25" s="16">
        <f t="shared" si="4"/>
        <v>7148062</v>
      </c>
      <c r="L25" s="16">
        <f t="shared" si="4"/>
        <v>8230430</v>
      </c>
      <c r="M25" s="16">
        <f t="shared" si="4"/>
        <v>9219122</v>
      </c>
      <c r="N25" s="16">
        <f>SUM(N21:N24)</f>
        <v>10407661</v>
      </c>
      <c r="O25" s="16">
        <f>SUM(O21:O24)</f>
        <v>10839486</v>
      </c>
      <c r="P25" s="16">
        <f>SUM(P21:P24)</f>
        <v>10651827</v>
      </c>
      <c r="Q25" s="16">
        <f t="shared" si="4"/>
        <v>0</v>
      </c>
      <c r="R25" s="16">
        <f t="shared" si="4"/>
        <v>0</v>
      </c>
      <c r="S25" s="16">
        <f t="shared" si="4"/>
        <v>13820041</v>
      </c>
      <c r="T25" s="16">
        <f t="shared" si="4"/>
        <v>16052893</v>
      </c>
      <c r="U25" s="16">
        <f>SUM(U21:U24)</f>
        <v>16476580</v>
      </c>
      <c r="V25" s="16">
        <f t="shared" si="4"/>
        <v>0</v>
      </c>
      <c r="W25" s="16">
        <f t="shared" si="4"/>
        <v>0</v>
      </c>
      <c r="X25" s="16">
        <f t="shared" si="4"/>
        <v>0</v>
      </c>
      <c r="Y25" s="16">
        <f t="shared" si="4"/>
        <v>0</v>
      </c>
      <c r="Z25" s="16">
        <f t="shared" si="4"/>
        <v>0</v>
      </c>
      <c r="AA25" s="16">
        <f t="shared" si="4"/>
        <v>0</v>
      </c>
      <c r="AB25" s="16">
        <f t="shared" si="4"/>
        <v>0</v>
      </c>
      <c r="AC25" s="16">
        <f t="shared" si="4"/>
        <v>0</v>
      </c>
      <c r="AD25" s="16">
        <f t="shared" si="4"/>
        <v>0</v>
      </c>
      <c r="AE25" s="16">
        <f t="shared" si="4"/>
        <v>0</v>
      </c>
      <c r="AF25" s="16">
        <f t="shared" si="4"/>
        <v>0</v>
      </c>
      <c r="AG25" s="16">
        <f t="shared" si="4"/>
        <v>0</v>
      </c>
      <c r="AH25" s="16">
        <f t="shared" si="4"/>
        <v>0</v>
      </c>
      <c r="AI25" s="16">
        <f t="shared" si="4"/>
        <v>11174722</v>
      </c>
      <c r="AJ25" s="16">
        <f>SUM(AJ21:AJ24)</f>
        <v>11021105</v>
      </c>
      <c r="AK25" s="13"/>
    </row>
    <row r="26" spans="1:37" x14ac:dyDescent="0.3">
      <c r="A26" t="s">
        <v>179</v>
      </c>
      <c r="B26" s="1" t="s">
        <v>180</v>
      </c>
      <c r="C26" s="19" t="s">
        <v>163</v>
      </c>
      <c r="D26" s="1" t="s">
        <v>415</v>
      </c>
      <c r="E26" s="20">
        <v>264018</v>
      </c>
      <c r="F26" s="20">
        <v>603218</v>
      </c>
      <c r="G26" s="13">
        <v>368013</v>
      </c>
      <c r="H26" s="13">
        <v>362928</v>
      </c>
      <c r="I26" s="13">
        <v>357208</v>
      </c>
      <c r="J26" s="13">
        <v>351488</v>
      </c>
      <c r="K26" s="13">
        <v>578704</v>
      </c>
      <c r="L26" s="13">
        <v>570362</v>
      </c>
      <c r="M26" s="13">
        <v>577208</v>
      </c>
      <c r="N26" s="13">
        <v>640482</v>
      </c>
      <c r="O26" s="13">
        <v>611155</v>
      </c>
      <c r="P26" s="13">
        <v>581829</v>
      </c>
      <c r="Q26" s="13"/>
      <c r="R26" s="13"/>
      <c r="S26" s="13">
        <v>525716</v>
      </c>
      <c r="T26" s="13">
        <v>495407</v>
      </c>
      <c r="U26" s="13">
        <v>465098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37" x14ac:dyDescent="0.3">
      <c r="A27" t="s">
        <v>179</v>
      </c>
      <c r="B27" s="1" t="s">
        <v>180</v>
      </c>
      <c r="C27" s="19" t="s">
        <v>163</v>
      </c>
      <c r="D27" s="1" t="s">
        <v>467</v>
      </c>
      <c r="E27" s="42">
        <v>2685965</v>
      </c>
      <c r="F27" s="42">
        <v>5040467</v>
      </c>
      <c r="G27" s="16">
        <v>416256</v>
      </c>
      <c r="H27" s="42">
        <v>463599</v>
      </c>
      <c r="I27" s="13">
        <v>428493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37" x14ac:dyDescent="0.3">
      <c r="A28" t="s">
        <v>179</v>
      </c>
      <c r="B28" s="1" t="s">
        <v>180</v>
      </c>
      <c r="C28" s="19" t="s">
        <v>163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1:37" x14ac:dyDescent="0.3">
      <c r="A29" t="s">
        <v>179</v>
      </c>
      <c r="B29" s="1" t="s">
        <v>180</v>
      </c>
      <c r="C29" s="7" t="s">
        <v>163</v>
      </c>
      <c r="E29" s="16">
        <f t="shared" ref="E29:F29" si="5">SUM(E26:E28)</f>
        <v>2949983</v>
      </c>
      <c r="F29" s="16">
        <f t="shared" si="5"/>
        <v>5643685</v>
      </c>
      <c r="G29" s="16">
        <f>SUM(G26:G28)</f>
        <v>784269</v>
      </c>
      <c r="H29" s="16">
        <f t="shared" ref="H29:AK29" si="6">SUM(H26:H28)</f>
        <v>826527</v>
      </c>
      <c r="I29" s="16">
        <f t="shared" si="6"/>
        <v>785701</v>
      </c>
      <c r="J29" s="16">
        <f t="shared" si="6"/>
        <v>351488</v>
      </c>
      <c r="K29" s="16">
        <f t="shared" si="6"/>
        <v>578704</v>
      </c>
      <c r="L29" s="16">
        <f t="shared" si="6"/>
        <v>570362</v>
      </c>
      <c r="M29" s="16">
        <f t="shared" si="6"/>
        <v>577208</v>
      </c>
      <c r="N29" s="16">
        <f t="shared" si="6"/>
        <v>640482</v>
      </c>
      <c r="O29" s="16">
        <f t="shared" si="6"/>
        <v>611155</v>
      </c>
      <c r="P29" s="16">
        <f t="shared" si="6"/>
        <v>581829</v>
      </c>
      <c r="Q29" s="16">
        <f t="shared" si="6"/>
        <v>0</v>
      </c>
      <c r="R29" s="16">
        <f t="shared" si="6"/>
        <v>0</v>
      </c>
      <c r="S29" s="16">
        <f t="shared" si="6"/>
        <v>525716</v>
      </c>
      <c r="T29" s="16">
        <f t="shared" si="6"/>
        <v>495407</v>
      </c>
      <c r="U29" s="16">
        <f t="shared" si="6"/>
        <v>465098</v>
      </c>
      <c r="V29" s="16">
        <f t="shared" si="6"/>
        <v>0</v>
      </c>
      <c r="W29" s="16">
        <f t="shared" si="6"/>
        <v>0</v>
      </c>
      <c r="X29" s="16">
        <f t="shared" si="6"/>
        <v>0</v>
      </c>
      <c r="Y29" s="16">
        <f t="shared" si="6"/>
        <v>0</v>
      </c>
      <c r="Z29" s="16">
        <f t="shared" si="6"/>
        <v>0</v>
      </c>
      <c r="AA29" s="16">
        <f t="shared" si="6"/>
        <v>0</v>
      </c>
      <c r="AB29" s="16">
        <f t="shared" si="6"/>
        <v>0</v>
      </c>
      <c r="AC29" s="16">
        <f t="shared" si="6"/>
        <v>0</v>
      </c>
      <c r="AD29" s="16">
        <f t="shared" si="6"/>
        <v>0</v>
      </c>
      <c r="AE29" s="16">
        <f t="shared" si="6"/>
        <v>0</v>
      </c>
      <c r="AF29" s="16">
        <f t="shared" si="6"/>
        <v>0</v>
      </c>
      <c r="AG29" s="16">
        <f t="shared" si="6"/>
        <v>0</v>
      </c>
      <c r="AH29" s="16">
        <f t="shared" si="6"/>
        <v>0</v>
      </c>
      <c r="AI29" s="16">
        <f t="shared" si="6"/>
        <v>0</v>
      </c>
      <c r="AJ29" s="16">
        <f t="shared" si="6"/>
        <v>0</v>
      </c>
      <c r="AK29" s="16">
        <f t="shared" si="6"/>
        <v>0</v>
      </c>
    </row>
    <row r="30" spans="1:37" x14ac:dyDescent="0.3">
      <c r="A30" t="s">
        <v>179</v>
      </c>
      <c r="B30" s="1" t="s">
        <v>180</v>
      </c>
      <c r="C30" s="19" t="s">
        <v>163</v>
      </c>
      <c r="D30" s="7"/>
      <c r="E30" s="7"/>
      <c r="F30" s="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3">
      <c r="A31" t="s">
        <v>179</v>
      </c>
      <c r="B31" s="1" t="s">
        <v>180</v>
      </c>
      <c r="C31" s="1" t="s">
        <v>312</v>
      </c>
      <c r="D31" s="19" t="s">
        <v>311</v>
      </c>
      <c r="E31" s="19"/>
      <c r="F31" s="19"/>
      <c r="AI31" s="1">
        <v>26497</v>
      </c>
      <c r="AJ31" s="1">
        <v>132466</v>
      </c>
    </row>
    <row r="32" spans="1:37" x14ac:dyDescent="0.3">
      <c r="A32" t="s">
        <v>179</v>
      </c>
      <c r="B32" s="1" t="s">
        <v>180</v>
      </c>
      <c r="C32" s="7" t="s">
        <v>164</v>
      </c>
      <c r="D32" s="7"/>
      <c r="E32" s="15">
        <f t="shared" ref="E32:R32" si="7">SUM(E13,E20,E25,E29,E31)</f>
        <v>9726068</v>
      </c>
      <c r="F32" s="15">
        <f t="shared" si="7"/>
        <v>12921082</v>
      </c>
      <c r="G32" s="15">
        <f t="shared" si="7"/>
        <v>8500716</v>
      </c>
      <c r="H32" s="15">
        <f t="shared" si="7"/>
        <v>9118647</v>
      </c>
      <c r="I32" s="15">
        <f t="shared" si="7"/>
        <v>9120032</v>
      </c>
      <c r="J32" s="15">
        <f t="shared" si="7"/>
        <v>8462222</v>
      </c>
      <c r="K32" s="15">
        <f>SUM(K13,K20,K25,K29,K31)</f>
        <v>12161554</v>
      </c>
      <c r="L32" s="15">
        <f>SUM(L13,L20,L25,L29,L31)</f>
        <v>12376074</v>
      </c>
      <c r="M32" s="15">
        <f>SUM(M13,M20,M25,M29,M31)</f>
        <v>13120688</v>
      </c>
      <c r="N32" s="15">
        <f t="shared" si="7"/>
        <v>14381248</v>
      </c>
      <c r="O32" s="15">
        <f t="shared" si="7"/>
        <v>13963726</v>
      </c>
      <c r="P32" s="15">
        <f t="shared" si="7"/>
        <v>13745538</v>
      </c>
      <c r="Q32" s="15">
        <f t="shared" si="7"/>
        <v>0</v>
      </c>
      <c r="R32" s="15">
        <f t="shared" si="7"/>
        <v>0</v>
      </c>
      <c r="S32" s="15">
        <f>SUM(S13,S20,S25,S29,S31)</f>
        <v>17745993</v>
      </c>
      <c r="T32" s="15">
        <f t="shared" ref="T32:AK32" si="8">SUM(T13,T20,T25,T29,T31)</f>
        <v>20176135</v>
      </c>
      <c r="U32" s="15">
        <f t="shared" si="8"/>
        <v>20168410</v>
      </c>
      <c r="V32" s="15">
        <f t="shared" si="8"/>
        <v>0</v>
      </c>
      <c r="W32" s="15">
        <f t="shared" si="8"/>
        <v>0</v>
      </c>
      <c r="X32" s="15">
        <f t="shared" si="8"/>
        <v>0</v>
      </c>
      <c r="Y32" s="15">
        <f t="shared" si="8"/>
        <v>0</v>
      </c>
      <c r="Z32" s="15">
        <f t="shared" si="8"/>
        <v>0</v>
      </c>
      <c r="AA32" s="15">
        <f t="shared" si="8"/>
        <v>0</v>
      </c>
      <c r="AB32" s="15">
        <f t="shared" si="8"/>
        <v>0</v>
      </c>
      <c r="AC32" s="15">
        <f t="shared" si="8"/>
        <v>0</v>
      </c>
      <c r="AD32" s="15">
        <f t="shared" si="8"/>
        <v>0</v>
      </c>
      <c r="AE32" s="15">
        <f t="shared" si="8"/>
        <v>0</v>
      </c>
      <c r="AF32" s="15">
        <f t="shared" si="8"/>
        <v>0</v>
      </c>
      <c r="AG32" s="15">
        <f t="shared" si="8"/>
        <v>0</v>
      </c>
      <c r="AH32" s="15">
        <f t="shared" si="8"/>
        <v>0</v>
      </c>
      <c r="AI32" s="15">
        <f t="shared" si="8"/>
        <v>15033483</v>
      </c>
      <c r="AJ32" s="15">
        <f t="shared" si="8"/>
        <v>16029150</v>
      </c>
      <c r="AK32" s="15">
        <f t="shared" si="8"/>
        <v>0</v>
      </c>
    </row>
    <row r="33" spans="1:37" x14ac:dyDescent="0.3">
      <c r="A33" t="s">
        <v>179</v>
      </c>
      <c r="B33" s="1" t="s">
        <v>180</v>
      </c>
      <c r="C33" s="1" t="s">
        <v>165</v>
      </c>
      <c r="D33" s="19" t="s">
        <v>315</v>
      </c>
      <c r="E33" s="43">
        <v>29999</v>
      </c>
      <c r="F33" s="43">
        <v>92105</v>
      </c>
      <c r="G33" s="27">
        <v>74906</v>
      </c>
      <c r="H33" s="27">
        <v>60828</v>
      </c>
      <c r="I33" s="27">
        <v>45009</v>
      </c>
      <c r="J33" s="27">
        <v>22713</v>
      </c>
      <c r="K33" s="27">
        <v>248771</v>
      </c>
      <c r="L33" s="27">
        <v>171079</v>
      </c>
      <c r="M33" s="27">
        <v>252361</v>
      </c>
      <c r="N33" s="27">
        <v>339694</v>
      </c>
      <c r="O33" s="27">
        <v>82035</v>
      </c>
      <c r="P33" s="27">
        <v>122428</v>
      </c>
      <c r="Q33" s="15"/>
      <c r="R33" s="15"/>
      <c r="S33" s="27">
        <v>27423</v>
      </c>
      <c r="T33" s="27">
        <v>477244</v>
      </c>
      <c r="U33" s="27">
        <v>101871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27">
        <v>127238</v>
      </c>
      <c r="AJ33" s="27">
        <v>403404</v>
      </c>
      <c r="AK33" s="15"/>
    </row>
    <row r="34" spans="1:37" x14ac:dyDescent="0.3">
      <c r="A34" t="s">
        <v>179</v>
      </c>
      <c r="B34" s="1" t="s">
        <v>180</v>
      </c>
      <c r="C34" s="1" t="s">
        <v>165</v>
      </c>
      <c r="D34" s="19" t="s">
        <v>316</v>
      </c>
      <c r="E34" s="19"/>
      <c r="F34" s="19"/>
      <c r="G34" s="15"/>
      <c r="H34" s="15"/>
      <c r="I34" s="27"/>
      <c r="J34" s="27"/>
      <c r="K34" s="27"/>
      <c r="L34" s="27">
        <v>0</v>
      </c>
      <c r="M34" s="27">
        <v>0</v>
      </c>
      <c r="N34" s="27">
        <v>0</v>
      </c>
      <c r="O34" s="27">
        <v>0</v>
      </c>
      <c r="P34" s="27">
        <v>3429</v>
      </c>
      <c r="Q34" s="27"/>
      <c r="R34" s="27"/>
      <c r="S34" s="27">
        <v>2638</v>
      </c>
      <c r="T34" s="27">
        <v>2932</v>
      </c>
      <c r="U34" s="27">
        <v>2998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27">
        <v>4766</v>
      </c>
      <c r="AJ34" s="27">
        <v>5372</v>
      </c>
      <c r="AK34" s="15"/>
    </row>
    <row r="35" spans="1:37" x14ac:dyDescent="0.3">
      <c r="A35" t="s">
        <v>179</v>
      </c>
      <c r="B35" s="1" t="s">
        <v>180</v>
      </c>
      <c r="C35" s="1" t="s">
        <v>165</v>
      </c>
      <c r="D35" s="19" t="s">
        <v>317</v>
      </c>
      <c r="E35" s="43">
        <v>52139</v>
      </c>
      <c r="F35" s="43">
        <v>52520</v>
      </c>
      <c r="G35" s="27">
        <v>62272</v>
      </c>
      <c r="H35" s="27">
        <v>68324</v>
      </c>
      <c r="I35" s="27">
        <v>73861</v>
      </c>
      <c r="J35" s="27">
        <v>77837</v>
      </c>
      <c r="K35" s="27">
        <v>81306</v>
      </c>
      <c r="L35" s="27">
        <v>84317</v>
      </c>
      <c r="M35" s="27">
        <v>88146</v>
      </c>
      <c r="N35" s="27">
        <v>89844</v>
      </c>
      <c r="O35" s="27">
        <v>90026</v>
      </c>
      <c r="P35" s="27">
        <v>93612</v>
      </c>
      <c r="Q35" s="27"/>
      <c r="R35" s="27"/>
      <c r="S35" s="27">
        <v>106588</v>
      </c>
      <c r="T35" s="27">
        <v>109677</v>
      </c>
      <c r="U35" s="27">
        <v>113201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27">
        <v>128889</v>
      </c>
      <c r="AJ35" s="27">
        <v>139560</v>
      </c>
      <c r="AK35" s="15"/>
    </row>
    <row r="36" spans="1:37" x14ac:dyDescent="0.3">
      <c r="A36" t="s">
        <v>179</v>
      </c>
      <c r="B36" s="1" t="s">
        <v>180</v>
      </c>
      <c r="C36" s="1" t="s">
        <v>165</v>
      </c>
      <c r="D36" s="19" t="s">
        <v>318</v>
      </c>
      <c r="E36" s="43">
        <v>213100</v>
      </c>
      <c r="F36" s="43">
        <v>245599</v>
      </c>
      <c r="G36" s="27">
        <v>33104</v>
      </c>
      <c r="H36" s="27">
        <v>32754</v>
      </c>
      <c r="I36" s="27">
        <v>32346</v>
      </c>
      <c r="J36" s="27">
        <v>31924</v>
      </c>
      <c r="K36" s="27">
        <v>64006</v>
      </c>
      <c r="L36" s="27">
        <v>63294</v>
      </c>
      <c r="M36" s="27">
        <v>50187</v>
      </c>
      <c r="N36" s="27">
        <v>57725</v>
      </c>
      <c r="O36" s="27">
        <v>56350</v>
      </c>
      <c r="P36" s="27">
        <v>54776</v>
      </c>
      <c r="Q36" s="27"/>
      <c r="R36" s="27"/>
      <c r="S36" s="27">
        <v>54789</v>
      </c>
      <c r="T36" s="27">
        <v>53352</v>
      </c>
      <c r="U36" s="27">
        <v>51856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27">
        <v>36591</v>
      </c>
      <c r="AJ36" s="27">
        <v>20383</v>
      </c>
      <c r="AK36" s="15"/>
    </row>
    <row r="37" spans="1:37" x14ac:dyDescent="0.3">
      <c r="A37" t="s">
        <v>179</v>
      </c>
      <c r="B37" s="1" t="s">
        <v>180</v>
      </c>
      <c r="C37" s="1" t="s">
        <v>165</v>
      </c>
      <c r="D37" s="19" t="s">
        <v>319</v>
      </c>
      <c r="E37" s="19">
        <v>45000</v>
      </c>
      <c r="F37" s="19">
        <v>100000</v>
      </c>
      <c r="G37" s="1">
        <v>40000</v>
      </c>
      <c r="H37" s="1">
        <v>45000</v>
      </c>
      <c r="I37" s="19">
        <v>45000</v>
      </c>
      <c r="J37" s="19">
        <v>50000</v>
      </c>
      <c r="K37" s="19">
        <v>123941</v>
      </c>
      <c r="L37" s="13">
        <v>134434</v>
      </c>
      <c r="M37" s="13">
        <v>248502</v>
      </c>
      <c r="N37" s="13">
        <v>265155</v>
      </c>
      <c r="O37" s="13">
        <v>309440</v>
      </c>
      <c r="P37" s="13">
        <v>366781</v>
      </c>
      <c r="Q37" s="19"/>
      <c r="R37" s="19"/>
      <c r="S37" s="43">
        <v>372375</v>
      </c>
      <c r="T37" s="43">
        <v>395877</v>
      </c>
      <c r="U37" s="43">
        <v>601665</v>
      </c>
      <c r="AI37" s="19">
        <v>1024434</v>
      </c>
      <c r="AJ37" s="19">
        <v>185000</v>
      </c>
    </row>
    <row r="38" spans="1:37" x14ac:dyDescent="0.3">
      <c r="A38" t="s">
        <v>179</v>
      </c>
      <c r="B38" s="1" t="s">
        <v>180</v>
      </c>
      <c r="C38" s="1" t="s">
        <v>165</v>
      </c>
      <c r="D38" s="19" t="s">
        <v>445</v>
      </c>
      <c r="E38" s="19"/>
      <c r="F38" s="19"/>
      <c r="I38" s="19">
        <v>0</v>
      </c>
      <c r="J38" s="19">
        <v>0</v>
      </c>
      <c r="K38" s="19">
        <v>0</v>
      </c>
      <c r="L38" s="13">
        <v>44398</v>
      </c>
      <c r="M38" s="13">
        <v>76130</v>
      </c>
      <c r="N38" s="13">
        <v>107169</v>
      </c>
      <c r="O38" s="13">
        <v>0</v>
      </c>
      <c r="P38" s="13">
        <v>0</v>
      </c>
      <c r="Q38" s="19"/>
      <c r="R38" s="19"/>
      <c r="AI38" s="19"/>
      <c r="AJ38" s="19"/>
    </row>
    <row r="39" spans="1:37" x14ac:dyDescent="0.3">
      <c r="A39" t="s">
        <v>179</v>
      </c>
      <c r="B39" s="1" t="s">
        <v>180</v>
      </c>
      <c r="C39" s="1" t="s">
        <v>165</v>
      </c>
      <c r="D39" s="19" t="s">
        <v>446</v>
      </c>
      <c r="E39" s="43">
        <v>14402</v>
      </c>
      <c r="F39" s="43">
        <v>11407</v>
      </c>
      <c r="G39" s="20">
        <v>20489</v>
      </c>
      <c r="H39" s="20">
        <v>8944</v>
      </c>
      <c r="I39" s="19">
        <v>4939</v>
      </c>
      <c r="J39" s="19">
        <v>4462</v>
      </c>
      <c r="K39" s="19">
        <v>2049</v>
      </c>
      <c r="L39" s="13">
        <v>1844</v>
      </c>
      <c r="M39" s="13">
        <v>1895</v>
      </c>
      <c r="N39" s="13">
        <v>1903</v>
      </c>
      <c r="O39" s="13">
        <v>2264</v>
      </c>
      <c r="P39" s="13">
        <v>0</v>
      </c>
      <c r="Q39" s="19"/>
      <c r="R39" s="19"/>
      <c r="AI39" s="19"/>
      <c r="AJ39" s="19"/>
    </row>
    <row r="40" spans="1:37" x14ac:dyDescent="0.3">
      <c r="A40" t="s">
        <v>179</v>
      </c>
      <c r="B40" s="1" t="s">
        <v>180</v>
      </c>
      <c r="C40" s="1" t="s">
        <v>165</v>
      </c>
      <c r="D40" s="19" t="s">
        <v>447</v>
      </c>
      <c r="E40" s="19"/>
      <c r="F40" s="19"/>
      <c r="I40" s="19">
        <v>0</v>
      </c>
      <c r="J40" s="19">
        <v>59619</v>
      </c>
      <c r="K40" s="19">
        <v>117225</v>
      </c>
      <c r="L40" s="13">
        <v>2419</v>
      </c>
      <c r="M40" s="13">
        <v>2419</v>
      </c>
      <c r="N40" s="13">
        <v>2419</v>
      </c>
      <c r="O40" s="13">
        <v>0</v>
      </c>
      <c r="P40" s="13">
        <v>0</v>
      </c>
      <c r="Q40" s="19"/>
      <c r="R40" s="19"/>
      <c r="AJ40" s="19"/>
    </row>
    <row r="41" spans="1:37" x14ac:dyDescent="0.3">
      <c r="A41" t="s">
        <v>179</v>
      </c>
      <c r="B41" s="1" t="s">
        <v>180</v>
      </c>
      <c r="C41" s="1" t="s">
        <v>165</v>
      </c>
      <c r="D41" s="19" t="s">
        <v>468</v>
      </c>
      <c r="E41" s="43">
        <v>339792</v>
      </c>
      <c r="F41" s="43">
        <v>532197</v>
      </c>
      <c r="G41" s="20">
        <v>670727</v>
      </c>
      <c r="H41" s="20">
        <v>670727</v>
      </c>
      <c r="I41" s="19">
        <v>677654</v>
      </c>
      <c r="J41" s="19">
        <v>0</v>
      </c>
      <c r="K41" s="19">
        <v>0</v>
      </c>
      <c r="L41" s="13"/>
      <c r="M41" s="13"/>
      <c r="N41" s="13"/>
      <c r="O41" s="13"/>
      <c r="P41" s="13"/>
      <c r="Q41" s="19"/>
      <c r="R41" s="19"/>
      <c r="AJ41" s="19"/>
    </row>
    <row r="42" spans="1:37" x14ac:dyDescent="0.3">
      <c r="A42" t="s">
        <v>179</v>
      </c>
      <c r="B42" s="1" t="s">
        <v>180</v>
      </c>
      <c r="C42" s="1" t="s">
        <v>165</v>
      </c>
      <c r="D42" s="19"/>
      <c r="E42" s="19"/>
      <c r="F42" s="19"/>
      <c r="I42" s="19"/>
      <c r="J42" s="19"/>
      <c r="K42" s="19"/>
      <c r="L42" s="13"/>
      <c r="M42" s="13"/>
      <c r="N42" s="13"/>
      <c r="O42" s="13"/>
      <c r="P42" s="13"/>
      <c r="Q42" s="19"/>
      <c r="R42" s="19"/>
      <c r="AJ42" s="19"/>
    </row>
    <row r="43" spans="1:37" x14ac:dyDescent="0.3">
      <c r="A43" t="s">
        <v>179</v>
      </c>
      <c r="B43" s="1" t="s">
        <v>180</v>
      </c>
      <c r="C43" s="1" t="s">
        <v>165</v>
      </c>
      <c r="D43" s="19"/>
      <c r="E43" s="19"/>
      <c r="F43" s="19"/>
      <c r="I43" s="19"/>
      <c r="J43" s="19"/>
      <c r="K43" s="19"/>
      <c r="L43" s="13"/>
      <c r="M43" s="13"/>
      <c r="N43" s="13"/>
      <c r="O43" s="13"/>
      <c r="P43" s="13"/>
      <c r="Q43" s="19"/>
      <c r="R43" s="19"/>
      <c r="AJ43" s="19"/>
    </row>
    <row r="44" spans="1:37" x14ac:dyDescent="0.3">
      <c r="A44" t="s">
        <v>179</v>
      </c>
      <c r="B44" s="1" t="s">
        <v>180</v>
      </c>
      <c r="C44" s="1" t="s">
        <v>165</v>
      </c>
      <c r="D44" s="19"/>
      <c r="E44" s="19"/>
      <c r="F44" s="19"/>
      <c r="L44" s="13"/>
      <c r="M44" s="13"/>
      <c r="N44" s="13"/>
      <c r="O44" s="13"/>
      <c r="P44" s="13"/>
      <c r="Q44" s="19"/>
      <c r="AJ44" s="19"/>
    </row>
    <row r="45" spans="1:37" x14ac:dyDescent="0.3">
      <c r="A45" t="s">
        <v>179</v>
      </c>
      <c r="B45" s="1" t="s">
        <v>180</v>
      </c>
      <c r="C45" s="7" t="s">
        <v>165</v>
      </c>
      <c r="D45" s="19"/>
      <c r="E45" s="28">
        <f t="shared" ref="E45:AI45" si="9">SUM(E33:E44)</f>
        <v>694432</v>
      </c>
      <c r="F45" s="28">
        <f t="shared" si="9"/>
        <v>1033828</v>
      </c>
      <c r="G45" s="28">
        <f t="shared" si="9"/>
        <v>901498</v>
      </c>
      <c r="H45" s="28">
        <f t="shared" si="9"/>
        <v>886577</v>
      </c>
      <c r="I45" s="28">
        <f t="shared" si="9"/>
        <v>878809</v>
      </c>
      <c r="J45" s="28">
        <f t="shared" si="9"/>
        <v>246555</v>
      </c>
      <c r="K45" s="28">
        <f t="shared" si="9"/>
        <v>637298</v>
      </c>
      <c r="L45" s="16">
        <f t="shared" si="9"/>
        <v>501785</v>
      </c>
      <c r="M45" s="16">
        <f t="shared" si="9"/>
        <v>719640</v>
      </c>
      <c r="N45" s="16">
        <f t="shared" si="9"/>
        <v>863909</v>
      </c>
      <c r="O45" s="16">
        <f t="shared" si="9"/>
        <v>540115</v>
      </c>
      <c r="P45" s="16">
        <f t="shared" si="9"/>
        <v>641026</v>
      </c>
      <c r="Q45" s="28">
        <f t="shared" si="9"/>
        <v>0</v>
      </c>
      <c r="R45" s="28">
        <f t="shared" si="9"/>
        <v>0</v>
      </c>
      <c r="S45" s="44">
        <v>563814</v>
      </c>
      <c r="T45" s="44">
        <f>1039081</f>
        <v>1039081</v>
      </c>
      <c r="U45" s="44">
        <f>871592</f>
        <v>871592</v>
      </c>
      <c r="V45" s="28">
        <f t="shared" si="9"/>
        <v>0</v>
      </c>
      <c r="W45" s="28">
        <f t="shared" si="9"/>
        <v>0</v>
      </c>
      <c r="X45" s="28">
        <f t="shared" si="9"/>
        <v>0</v>
      </c>
      <c r="Y45" s="28">
        <f t="shared" si="9"/>
        <v>0</v>
      </c>
      <c r="Z45" s="28">
        <f t="shared" si="9"/>
        <v>0</v>
      </c>
      <c r="AA45" s="28">
        <f t="shared" si="9"/>
        <v>0</v>
      </c>
      <c r="AB45" s="28">
        <f t="shared" si="9"/>
        <v>0</v>
      </c>
      <c r="AC45" s="28">
        <f t="shared" si="9"/>
        <v>0</v>
      </c>
      <c r="AD45" s="28">
        <f t="shared" si="9"/>
        <v>0</v>
      </c>
      <c r="AE45" s="28">
        <f t="shared" si="9"/>
        <v>0</v>
      </c>
      <c r="AF45" s="28">
        <f t="shared" si="9"/>
        <v>0</v>
      </c>
      <c r="AG45" s="28">
        <f t="shared" si="9"/>
        <v>0</v>
      </c>
      <c r="AH45" s="28">
        <f t="shared" si="9"/>
        <v>0</v>
      </c>
      <c r="AI45" s="28">
        <f t="shared" si="9"/>
        <v>1321918</v>
      </c>
      <c r="AJ45" s="28">
        <f>SUM(AJ33:AJ44)</f>
        <v>753719</v>
      </c>
    </row>
    <row r="46" spans="1:37" x14ac:dyDescent="0.3">
      <c r="A46" t="s">
        <v>179</v>
      </c>
      <c r="B46" s="1" t="s">
        <v>180</v>
      </c>
      <c r="C46" s="1" t="s">
        <v>166</v>
      </c>
      <c r="D46" s="19" t="s">
        <v>320</v>
      </c>
      <c r="E46" s="43">
        <v>4100000</v>
      </c>
      <c r="F46" s="43">
        <v>7005000</v>
      </c>
      <c r="G46" s="20">
        <v>2895000</v>
      </c>
      <c r="H46" s="20">
        <v>2855000</v>
      </c>
      <c r="I46" s="1">
        <v>2810000</v>
      </c>
      <c r="J46" s="1">
        <v>2765000</v>
      </c>
      <c r="K46" s="1">
        <v>6140000</v>
      </c>
      <c r="L46" s="13">
        <v>6065000</v>
      </c>
      <c r="M46" s="13">
        <v>7705000</v>
      </c>
      <c r="N46" s="13">
        <v>8590000</v>
      </c>
      <c r="O46" s="13">
        <v>8370000</v>
      </c>
      <c r="P46" s="13">
        <v>8140000</v>
      </c>
      <c r="AI46" s="1">
        <f>565000+1820000+3501430</f>
        <v>5886430</v>
      </c>
      <c r="AJ46" s="29">
        <v>7020000</v>
      </c>
    </row>
    <row r="47" spans="1:37" x14ac:dyDescent="0.3">
      <c r="A47" t="s">
        <v>179</v>
      </c>
      <c r="B47" s="1" t="s">
        <v>180</v>
      </c>
      <c r="C47" s="1" t="s">
        <v>166</v>
      </c>
      <c r="D47" s="19" t="s">
        <v>417</v>
      </c>
      <c r="E47" s="19"/>
      <c r="F47" s="19"/>
      <c r="L47" s="13"/>
      <c r="M47" s="13"/>
      <c r="N47" s="13"/>
      <c r="O47" s="13"/>
      <c r="P47" s="13"/>
      <c r="S47" s="1">
        <v>6440000</v>
      </c>
      <c r="T47" s="1">
        <v>6190000</v>
      </c>
      <c r="U47" s="1">
        <v>5930000</v>
      </c>
      <c r="AJ47" s="29"/>
    </row>
    <row r="48" spans="1:37" x14ac:dyDescent="0.3">
      <c r="A48" t="s">
        <v>179</v>
      </c>
      <c r="B48" s="1" t="s">
        <v>180</v>
      </c>
      <c r="C48" s="1" t="s">
        <v>166</v>
      </c>
      <c r="D48" s="19" t="s">
        <v>418</v>
      </c>
      <c r="E48" s="19"/>
      <c r="F48" s="19"/>
      <c r="L48" s="13"/>
      <c r="M48" s="13"/>
      <c r="N48" s="13"/>
      <c r="O48" s="13"/>
      <c r="P48" s="13"/>
      <c r="S48" s="1">
        <v>1820000</v>
      </c>
      <c r="T48" s="1">
        <v>1820000</v>
      </c>
      <c r="U48" s="1">
        <v>1820000</v>
      </c>
      <c r="AJ48" s="29"/>
    </row>
    <row r="49" spans="1:36" x14ac:dyDescent="0.3">
      <c r="A49" t="s">
        <v>179</v>
      </c>
      <c r="B49" s="1" t="s">
        <v>180</v>
      </c>
      <c r="C49" s="1" t="s">
        <v>166</v>
      </c>
      <c r="D49" s="19" t="s">
        <v>351</v>
      </c>
      <c r="E49" s="19">
        <v>0</v>
      </c>
      <c r="F49" s="19">
        <v>0</v>
      </c>
      <c r="G49" s="1">
        <v>0</v>
      </c>
      <c r="H49" s="1">
        <v>746646</v>
      </c>
      <c r="I49" s="1">
        <v>746646</v>
      </c>
      <c r="J49" s="1">
        <v>745981</v>
      </c>
      <c r="K49" s="1">
        <v>705937</v>
      </c>
      <c r="L49" s="13">
        <v>1064567</v>
      </c>
      <c r="M49" s="13">
        <v>1030147</v>
      </c>
      <c r="N49" s="13">
        <v>1208349</v>
      </c>
      <c r="O49" s="13">
        <v>1772394</v>
      </c>
      <c r="P49" s="13">
        <v>1703600</v>
      </c>
      <c r="S49" s="1">
        <v>1311965</v>
      </c>
      <c r="T49" s="1">
        <v>4782641</v>
      </c>
      <c r="U49" s="1">
        <v>5038465</v>
      </c>
      <c r="AI49" s="1">
        <v>1330913</v>
      </c>
      <c r="AJ49" s="29"/>
    </row>
    <row r="50" spans="1:36" x14ac:dyDescent="0.3">
      <c r="A50" t="s">
        <v>179</v>
      </c>
      <c r="B50" s="1" t="s">
        <v>180</v>
      </c>
      <c r="C50" s="1" t="s">
        <v>166</v>
      </c>
      <c r="D50" s="19" t="s">
        <v>352</v>
      </c>
      <c r="E50" s="19"/>
      <c r="F50" s="19"/>
      <c r="I50" s="1">
        <v>0</v>
      </c>
      <c r="J50" s="1">
        <v>0</v>
      </c>
      <c r="K50" s="1">
        <v>13606</v>
      </c>
      <c r="L50" s="13">
        <v>8770</v>
      </c>
      <c r="M50" s="13">
        <v>3401</v>
      </c>
      <c r="N50" s="13">
        <v>0</v>
      </c>
      <c r="O50" s="13">
        <v>0</v>
      </c>
      <c r="P50" s="13">
        <v>0</v>
      </c>
      <c r="S50" s="1">
        <v>1617000</v>
      </c>
      <c r="AI50" s="1">
        <v>47820</v>
      </c>
      <c r="AJ50" s="29"/>
    </row>
    <row r="51" spans="1:36" x14ac:dyDescent="0.3">
      <c r="A51" t="s">
        <v>179</v>
      </c>
      <c r="B51" s="1" t="s">
        <v>180</v>
      </c>
      <c r="C51" s="1" t="s">
        <v>166</v>
      </c>
      <c r="D51" s="19" t="s">
        <v>321</v>
      </c>
      <c r="E51" s="19"/>
      <c r="F51" s="19"/>
      <c r="L51" s="13"/>
      <c r="M51" s="13"/>
      <c r="N51" s="13"/>
      <c r="O51" s="13"/>
      <c r="P51" s="13"/>
      <c r="AJ51" s="29">
        <v>125060</v>
      </c>
    </row>
    <row r="52" spans="1:36" x14ac:dyDescent="0.3">
      <c r="A52" t="s">
        <v>179</v>
      </c>
      <c r="B52" s="1" t="s">
        <v>180</v>
      </c>
      <c r="C52" s="1" t="s">
        <v>166</v>
      </c>
      <c r="D52" s="19" t="s">
        <v>322</v>
      </c>
      <c r="E52" s="19"/>
      <c r="F52" s="19"/>
      <c r="L52" s="13"/>
      <c r="M52" s="13"/>
      <c r="N52" s="13"/>
      <c r="O52" s="13"/>
      <c r="P52" s="13"/>
      <c r="AI52" s="1">
        <v>-1280348</v>
      </c>
      <c r="AJ52" s="29">
        <v>-1380176</v>
      </c>
    </row>
    <row r="53" spans="1:36" x14ac:dyDescent="0.3">
      <c r="A53" t="s">
        <v>179</v>
      </c>
      <c r="B53" s="1" t="s">
        <v>180</v>
      </c>
      <c r="C53" s="1" t="s">
        <v>166</v>
      </c>
      <c r="D53" s="19" t="s">
        <v>323</v>
      </c>
      <c r="E53" s="19">
        <v>-45000</v>
      </c>
      <c r="F53" s="19">
        <v>-100000</v>
      </c>
      <c r="G53" s="1">
        <v>-40000</v>
      </c>
      <c r="H53" s="1">
        <v>-45000</v>
      </c>
      <c r="I53" s="1">
        <v>-45000</v>
      </c>
      <c r="J53" s="1">
        <v>-50000</v>
      </c>
      <c r="K53" s="1">
        <v>-123941</v>
      </c>
      <c r="L53" s="13">
        <v>-134434</v>
      </c>
      <c r="M53" s="13">
        <v>-248502</v>
      </c>
      <c r="N53" s="13">
        <v>-265155</v>
      </c>
      <c r="O53" s="13">
        <v>-309440</v>
      </c>
      <c r="P53" s="13">
        <v>-366781</v>
      </c>
      <c r="S53" s="1">
        <v>-372375</v>
      </c>
      <c r="T53" s="1">
        <v>-395877</v>
      </c>
      <c r="U53" s="1">
        <v>-601665</v>
      </c>
      <c r="AI53" s="1">
        <v>-1024434</v>
      </c>
      <c r="AJ53" s="29">
        <v>-185000</v>
      </c>
    </row>
    <row r="54" spans="1:36" x14ac:dyDescent="0.3">
      <c r="A54" t="s">
        <v>179</v>
      </c>
      <c r="B54" s="1" t="s">
        <v>180</v>
      </c>
      <c r="C54" s="1" t="s">
        <v>166</v>
      </c>
      <c r="D54" s="19" t="s">
        <v>324</v>
      </c>
      <c r="E54" s="19"/>
      <c r="F54" s="19"/>
      <c r="L54" s="13">
        <v>0</v>
      </c>
      <c r="M54" s="13">
        <v>-1547492</v>
      </c>
      <c r="N54" s="13">
        <v>-1476206</v>
      </c>
      <c r="O54" s="13">
        <v>-1404920</v>
      </c>
      <c r="P54" s="13">
        <v>-1333634</v>
      </c>
      <c r="S54" s="1">
        <v>-1227977</v>
      </c>
      <c r="T54" s="1">
        <v>-1149964</v>
      </c>
      <c r="U54" s="1">
        <v>-1071951</v>
      </c>
      <c r="AI54" s="1">
        <v>-34050</v>
      </c>
      <c r="AJ54" s="29">
        <v>-154095</v>
      </c>
    </row>
    <row r="55" spans="1:36" x14ac:dyDescent="0.3">
      <c r="A55" t="s">
        <v>179</v>
      </c>
      <c r="B55" s="1" t="s">
        <v>180</v>
      </c>
      <c r="C55" s="7" t="s">
        <v>166</v>
      </c>
      <c r="D55" s="19"/>
      <c r="E55" s="28">
        <f t="shared" ref="E55:F55" si="10">SUM(E46:E54)</f>
        <v>4055000</v>
      </c>
      <c r="F55" s="28">
        <f t="shared" si="10"/>
        <v>6905000</v>
      </c>
      <c r="G55" s="28">
        <f t="shared" ref="G55:AJ55" si="11">SUM(G46:G54)</f>
        <v>2855000</v>
      </c>
      <c r="H55" s="28">
        <f t="shared" si="11"/>
        <v>3556646</v>
      </c>
      <c r="I55" s="28">
        <f t="shared" si="11"/>
        <v>3511646</v>
      </c>
      <c r="J55" s="28">
        <f t="shared" si="11"/>
        <v>3460981</v>
      </c>
      <c r="K55" s="28">
        <f t="shared" si="11"/>
        <v>6735602</v>
      </c>
      <c r="L55" s="16">
        <f t="shared" si="11"/>
        <v>7003903</v>
      </c>
      <c r="M55" s="16">
        <f t="shared" si="11"/>
        <v>6942554</v>
      </c>
      <c r="N55" s="16">
        <f t="shared" si="11"/>
        <v>8056988</v>
      </c>
      <c r="O55" s="16">
        <f t="shared" si="11"/>
        <v>8428034</v>
      </c>
      <c r="P55" s="16">
        <f t="shared" si="11"/>
        <v>8143185</v>
      </c>
      <c r="Q55" s="28">
        <f t="shared" si="11"/>
        <v>0</v>
      </c>
      <c r="R55" s="28">
        <f t="shared" si="11"/>
        <v>0</v>
      </c>
      <c r="S55" s="28">
        <f t="shared" si="11"/>
        <v>9588613</v>
      </c>
      <c r="T55" s="28">
        <f t="shared" si="11"/>
        <v>11246800</v>
      </c>
      <c r="U55" s="28">
        <f t="shared" si="11"/>
        <v>11114849</v>
      </c>
      <c r="V55" s="28">
        <f t="shared" si="11"/>
        <v>0</v>
      </c>
      <c r="W55" s="28">
        <f t="shared" si="11"/>
        <v>0</v>
      </c>
      <c r="X55" s="28">
        <f t="shared" si="11"/>
        <v>0</v>
      </c>
      <c r="Y55" s="28">
        <f t="shared" si="11"/>
        <v>0</v>
      </c>
      <c r="Z55" s="28">
        <f t="shared" si="11"/>
        <v>0</v>
      </c>
      <c r="AA55" s="28">
        <f t="shared" si="11"/>
        <v>0</v>
      </c>
      <c r="AB55" s="28">
        <f t="shared" si="11"/>
        <v>0</v>
      </c>
      <c r="AC55" s="28">
        <f t="shared" si="11"/>
        <v>0</v>
      </c>
      <c r="AD55" s="28">
        <f t="shared" si="11"/>
        <v>0</v>
      </c>
      <c r="AE55" s="28">
        <f t="shared" si="11"/>
        <v>0</v>
      </c>
      <c r="AF55" s="28">
        <f t="shared" si="11"/>
        <v>0</v>
      </c>
      <c r="AG55" s="28">
        <f t="shared" si="11"/>
        <v>0</v>
      </c>
      <c r="AH55" s="28">
        <f t="shared" si="11"/>
        <v>0</v>
      </c>
      <c r="AI55" s="28">
        <f t="shared" si="11"/>
        <v>4926331</v>
      </c>
      <c r="AJ55" s="28">
        <f t="shared" si="11"/>
        <v>5425789</v>
      </c>
    </row>
    <row r="56" spans="1:36" x14ac:dyDescent="0.3">
      <c r="A56" t="s">
        <v>179</v>
      </c>
      <c r="B56" s="1" t="s">
        <v>180</v>
      </c>
      <c r="C56" s="7" t="s">
        <v>167</v>
      </c>
      <c r="D56" s="19"/>
      <c r="E56" s="28">
        <f t="shared" ref="E56:F56" si="12">SUM(E45,E55)</f>
        <v>4749432</v>
      </c>
      <c r="F56" s="28">
        <f t="shared" si="12"/>
        <v>7938828</v>
      </c>
      <c r="G56" s="28">
        <f t="shared" ref="G56:AJ56" si="13">SUM(G45,G55)</f>
        <v>3756498</v>
      </c>
      <c r="H56" s="28">
        <f t="shared" si="13"/>
        <v>4443223</v>
      </c>
      <c r="I56" s="28">
        <f t="shared" si="13"/>
        <v>4390455</v>
      </c>
      <c r="J56" s="28">
        <f t="shared" si="13"/>
        <v>3707536</v>
      </c>
      <c r="K56" s="28">
        <f t="shared" si="13"/>
        <v>7372900</v>
      </c>
      <c r="L56" s="16">
        <f t="shared" si="13"/>
        <v>7505688</v>
      </c>
      <c r="M56" s="16">
        <f t="shared" si="13"/>
        <v>7662194</v>
      </c>
      <c r="N56" s="16">
        <f t="shared" si="13"/>
        <v>8920897</v>
      </c>
      <c r="O56" s="16">
        <f t="shared" si="13"/>
        <v>8968149</v>
      </c>
      <c r="P56" s="16">
        <f t="shared" si="13"/>
        <v>8784211</v>
      </c>
      <c r="Q56" s="28">
        <f t="shared" si="13"/>
        <v>0</v>
      </c>
      <c r="R56" s="28">
        <f t="shared" si="13"/>
        <v>0</v>
      </c>
      <c r="S56" s="28">
        <f t="shared" si="13"/>
        <v>10152427</v>
      </c>
      <c r="T56" s="28">
        <f t="shared" si="13"/>
        <v>12285881</v>
      </c>
      <c r="U56" s="28">
        <f t="shared" si="13"/>
        <v>11986441</v>
      </c>
      <c r="V56" s="28">
        <f t="shared" si="13"/>
        <v>0</v>
      </c>
      <c r="W56" s="28">
        <f t="shared" si="13"/>
        <v>0</v>
      </c>
      <c r="X56" s="28">
        <f t="shared" si="13"/>
        <v>0</v>
      </c>
      <c r="Y56" s="28">
        <f t="shared" si="13"/>
        <v>0</v>
      </c>
      <c r="Z56" s="28">
        <f t="shared" si="13"/>
        <v>0</v>
      </c>
      <c r="AA56" s="28">
        <f t="shared" si="13"/>
        <v>0</v>
      </c>
      <c r="AB56" s="28">
        <f t="shared" si="13"/>
        <v>0</v>
      </c>
      <c r="AC56" s="28">
        <f t="shared" si="13"/>
        <v>0</v>
      </c>
      <c r="AD56" s="28">
        <f t="shared" si="13"/>
        <v>0</v>
      </c>
      <c r="AE56" s="28">
        <f t="shared" si="13"/>
        <v>0</v>
      </c>
      <c r="AF56" s="28">
        <f t="shared" si="13"/>
        <v>0</v>
      </c>
      <c r="AG56" s="28">
        <f t="shared" si="13"/>
        <v>0</v>
      </c>
      <c r="AH56" s="28">
        <f t="shared" si="13"/>
        <v>0</v>
      </c>
      <c r="AI56" s="28">
        <f t="shared" si="13"/>
        <v>6248249</v>
      </c>
      <c r="AJ56" s="28">
        <f t="shared" si="13"/>
        <v>6179508</v>
      </c>
    </row>
    <row r="57" spans="1:36" x14ac:dyDescent="0.3">
      <c r="A57" t="s">
        <v>179</v>
      </c>
      <c r="B57" s="1" t="s">
        <v>180</v>
      </c>
      <c r="C57" s="1" t="s">
        <v>313</v>
      </c>
      <c r="D57" s="19" t="s">
        <v>314</v>
      </c>
      <c r="E57" s="19"/>
      <c r="F57" s="19"/>
      <c r="L57" s="13"/>
      <c r="M57" s="13"/>
      <c r="N57" s="13"/>
      <c r="O57" s="13"/>
      <c r="P57" s="13"/>
      <c r="AI57" s="1">
        <v>19976</v>
      </c>
      <c r="AJ57" s="29">
        <v>173387</v>
      </c>
    </row>
    <row r="58" spans="1:36" x14ac:dyDescent="0.3">
      <c r="A58" t="s">
        <v>179</v>
      </c>
      <c r="B58" s="1" t="s">
        <v>180</v>
      </c>
      <c r="C58" s="1" t="s">
        <v>325</v>
      </c>
      <c r="D58" s="19" t="s">
        <v>326</v>
      </c>
      <c r="E58" s="19"/>
      <c r="F58" s="19"/>
      <c r="L58" s="13"/>
      <c r="M58" s="13"/>
      <c r="N58" s="13"/>
      <c r="O58" s="13"/>
      <c r="P58" s="13"/>
      <c r="AI58" s="1">
        <v>2929195</v>
      </c>
      <c r="AJ58" s="29">
        <v>4030140</v>
      </c>
    </row>
    <row r="59" spans="1:36" x14ac:dyDescent="0.3">
      <c r="A59" t="s">
        <v>179</v>
      </c>
      <c r="B59" s="1" t="s">
        <v>180</v>
      </c>
      <c r="C59" s="1" t="s">
        <v>325</v>
      </c>
      <c r="D59" s="1" t="s">
        <v>327</v>
      </c>
      <c r="L59" s="13"/>
      <c r="M59" s="13"/>
      <c r="N59" s="13"/>
      <c r="O59" s="13"/>
      <c r="P59" s="13"/>
      <c r="AI59" s="1">
        <v>697193</v>
      </c>
      <c r="AJ59" s="29">
        <v>1250046</v>
      </c>
    </row>
    <row r="60" spans="1:36" x14ac:dyDescent="0.3">
      <c r="A60" t="s">
        <v>179</v>
      </c>
      <c r="B60" s="1" t="s">
        <v>180</v>
      </c>
      <c r="C60" s="1" t="s">
        <v>325</v>
      </c>
      <c r="D60" s="19" t="s">
        <v>328</v>
      </c>
      <c r="E60" s="19"/>
      <c r="F60" s="19"/>
      <c r="L60" s="13"/>
      <c r="M60" s="13"/>
      <c r="N60" s="13"/>
      <c r="O60" s="13"/>
      <c r="P60" s="13"/>
      <c r="AI60" s="1">
        <v>5138870</v>
      </c>
      <c r="AJ60" s="29">
        <v>4396069</v>
      </c>
    </row>
    <row r="61" spans="1:36" x14ac:dyDescent="0.3">
      <c r="A61" t="s">
        <v>179</v>
      </c>
      <c r="B61" s="1" t="s">
        <v>180</v>
      </c>
      <c r="C61" s="7" t="s">
        <v>329</v>
      </c>
      <c r="D61" s="19"/>
      <c r="E61" s="28">
        <f t="shared" ref="E61:AH61" si="14">SUM(E58:E60)</f>
        <v>0</v>
      </c>
      <c r="F61" s="28">
        <f t="shared" si="14"/>
        <v>0</v>
      </c>
      <c r="G61" s="28">
        <f t="shared" si="14"/>
        <v>0</v>
      </c>
      <c r="H61" s="28">
        <f t="shared" si="14"/>
        <v>0</v>
      </c>
      <c r="I61" s="28">
        <f t="shared" si="14"/>
        <v>0</v>
      </c>
      <c r="J61" s="28">
        <f t="shared" si="14"/>
        <v>0</v>
      </c>
      <c r="K61" s="28">
        <f t="shared" si="14"/>
        <v>0</v>
      </c>
      <c r="L61" s="16">
        <f t="shared" si="14"/>
        <v>0</v>
      </c>
      <c r="M61" s="16">
        <f t="shared" si="14"/>
        <v>0</v>
      </c>
      <c r="N61" s="16">
        <f t="shared" si="14"/>
        <v>0</v>
      </c>
      <c r="O61" s="16">
        <f t="shared" si="14"/>
        <v>0</v>
      </c>
      <c r="P61" s="16">
        <f t="shared" si="14"/>
        <v>0</v>
      </c>
      <c r="Q61" s="28">
        <f t="shared" si="14"/>
        <v>0</v>
      </c>
      <c r="R61" s="28">
        <f t="shared" si="14"/>
        <v>0</v>
      </c>
      <c r="S61" s="28">
        <f t="shared" si="14"/>
        <v>0</v>
      </c>
      <c r="T61" s="28">
        <f t="shared" si="14"/>
        <v>0</v>
      </c>
      <c r="U61" s="28">
        <f t="shared" si="14"/>
        <v>0</v>
      </c>
      <c r="V61" s="28">
        <f t="shared" si="14"/>
        <v>0</v>
      </c>
      <c r="W61" s="28">
        <f t="shared" si="14"/>
        <v>0</v>
      </c>
      <c r="X61" s="28">
        <f t="shared" si="14"/>
        <v>0</v>
      </c>
      <c r="Y61" s="28">
        <f t="shared" si="14"/>
        <v>0</v>
      </c>
      <c r="Z61" s="28">
        <f t="shared" si="14"/>
        <v>0</v>
      </c>
      <c r="AA61" s="28">
        <f t="shared" si="14"/>
        <v>0</v>
      </c>
      <c r="AB61" s="28">
        <f t="shared" si="14"/>
        <v>0</v>
      </c>
      <c r="AC61" s="28">
        <f t="shared" si="14"/>
        <v>0</v>
      </c>
      <c r="AD61" s="28">
        <f t="shared" si="14"/>
        <v>0</v>
      </c>
      <c r="AE61" s="28">
        <f t="shared" si="14"/>
        <v>0</v>
      </c>
      <c r="AF61" s="28">
        <f t="shared" si="14"/>
        <v>0</v>
      </c>
      <c r="AG61" s="28">
        <f t="shared" si="14"/>
        <v>0</v>
      </c>
      <c r="AH61" s="28">
        <f t="shared" si="14"/>
        <v>0</v>
      </c>
      <c r="AI61" s="28">
        <f>SUM(AI58:AI60)</f>
        <v>8765258</v>
      </c>
      <c r="AJ61" s="28">
        <f>SUM(AJ58:AJ60)</f>
        <v>9676255</v>
      </c>
    </row>
    <row r="62" spans="1:36" x14ac:dyDescent="0.3">
      <c r="A62" t="s">
        <v>179</v>
      </c>
      <c r="B62" s="1" t="s">
        <v>180</v>
      </c>
      <c r="C62" s="19" t="s">
        <v>168</v>
      </c>
      <c r="D62" s="19"/>
      <c r="E62" s="19"/>
      <c r="F62" s="19"/>
      <c r="L62" s="13"/>
      <c r="M62" s="13"/>
      <c r="N62" s="13"/>
      <c r="O62" s="13"/>
      <c r="P62" s="13"/>
      <c r="AJ62" s="28"/>
    </row>
    <row r="63" spans="1:36" x14ac:dyDescent="0.3">
      <c r="A63" t="s">
        <v>179</v>
      </c>
      <c r="B63" s="1" t="s">
        <v>180</v>
      </c>
      <c r="C63" s="1" t="s">
        <v>168</v>
      </c>
      <c r="D63" s="19" t="s">
        <v>419</v>
      </c>
      <c r="E63" s="43">
        <v>1240794</v>
      </c>
      <c r="F63" s="43">
        <v>1240794</v>
      </c>
      <c r="G63" s="20">
        <v>1240794</v>
      </c>
      <c r="H63" s="20">
        <v>1240794</v>
      </c>
      <c r="I63" s="1">
        <v>1240794</v>
      </c>
      <c r="J63" s="1">
        <v>1240794</v>
      </c>
      <c r="K63" s="1">
        <v>1240794</v>
      </c>
      <c r="L63" s="13">
        <v>1283462</v>
      </c>
      <c r="M63" s="13">
        <v>1596459</v>
      </c>
      <c r="N63" s="13">
        <v>1621459</v>
      </c>
      <c r="O63" s="13">
        <v>1632444</v>
      </c>
      <c r="P63" s="13">
        <v>1632444</v>
      </c>
      <c r="S63" s="1">
        <v>3246812</v>
      </c>
      <c r="T63" s="1">
        <v>3246812</v>
      </c>
      <c r="U63" s="1">
        <v>3246812</v>
      </c>
      <c r="AJ63" s="28"/>
    </row>
    <row r="64" spans="1:36" x14ac:dyDescent="0.3">
      <c r="A64" t="s">
        <v>179</v>
      </c>
      <c r="B64" s="1" t="s">
        <v>180</v>
      </c>
      <c r="C64" s="1" t="s">
        <v>168</v>
      </c>
      <c r="D64" s="19" t="s">
        <v>420</v>
      </c>
      <c r="E64" s="43">
        <v>3735842</v>
      </c>
      <c r="F64" s="19">
        <v>3741460</v>
      </c>
      <c r="G64" s="1">
        <v>3503424</v>
      </c>
      <c r="H64" s="1">
        <v>3434630</v>
      </c>
      <c r="I64" s="1">
        <v>3488783</v>
      </c>
      <c r="J64" s="1">
        <v>3513892</v>
      </c>
      <c r="K64" s="1">
        <v>3547860</v>
      </c>
      <c r="L64" s="13">
        <v>3586924</v>
      </c>
      <c r="M64" s="13">
        <v>3862035</v>
      </c>
      <c r="N64" s="13">
        <v>3838892</v>
      </c>
      <c r="O64" s="13">
        <v>3363133</v>
      </c>
      <c r="P64" s="13">
        <v>3328883</v>
      </c>
      <c r="S64" s="1">
        <v>4346754</v>
      </c>
      <c r="T64" s="1">
        <v>4643442</v>
      </c>
      <c r="U64" s="1">
        <v>4935157</v>
      </c>
      <c r="AJ64" s="28"/>
    </row>
    <row r="65" spans="1:37" x14ac:dyDescent="0.3">
      <c r="A65" t="s">
        <v>179</v>
      </c>
      <c r="B65" s="1" t="s">
        <v>180</v>
      </c>
      <c r="C65" s="7" t="s">
        <v>421</v>
      </c>
      <c r="D65" s="19" t="s">
        <v>77</v>
      </c>
      <c r="E65" s="1">
        <f t="shared" ref="E65:R65" si="15">SUM(E63:E64)</f>
        <v>4976636</v>
      </c>
      <c r="F65" s="1">
        <f t="shared" si="15"/>
        <v>4982254</v>
      </c>
      <c r="G65" s="1">
        <f t="shared" si="15"/>
        <v>4744218</v>
      </c>
      <c r="H65" s="1">
        <f t="shared" si="15"/>
        <v>4675424</v>
      </c>
      <c r="I65" s="1">
        <f t="shared" si="15"/>
        <v>4729577</v>
      </c>
      <c r="J65" s="1">
        <f t="shared" si="15"/>
        <v>4754686</v>
      </c>
      <c r="K65" s="1">
        <f t="shared" si="15"/>
        <v>4788654</v>
      </c>
      <c r="L65" s="13">
        <f t="shared" si="15"/>
        <v>4870386</v>
      </c>
      <c r="M65" s="13">
        <f t="shared" si="15"/>
        <v>5458494</v>
      </c>
      <c r="N65" s="13">
        <f t="shared" si="15"/>
        <v>5460351</v>
      </c>
      <c r="O65" s="13">
        <f t="shared" si="15"/>
        <v>4995577</v>
      </c>
      <c r="P65" s="13">
        <f t="shared" si="15"/>
        <v>4961327</v>
      </c>
      <c r="Q65" s="1">
        <f t="shared" si="15"/>
        <v>0</v>
      </c>
      <c r="R65" s="1">
        <f t="shared" si="15"/>
        <v>0</v>
      </c>
      <c r="S65" s="1">
        <f>SUM(S63:S64)</f>
        <v>7593566</v>
      </c>
      <c r="T65" s="1">
        <f t="shared" ref="T65" si="16">SUM(T63:T64)</f>
        <v>7890254</v>
      </c>
      <c r="U65" s="1">
        <f t="shared" ref="U65" si="17">SUM(U63:U64)</f>
        <v>8181969</v>
      </c>
      <c r="V65" s="1">
        <f t="shared" ref="V65" si="18">SUM(V63:V64)</f>
        <v>0</v>
      </c>
      <c r="W65" s="1">
        <f t="shared" ref="W65" si="19">SUM(W63:W64)</f>
        <v>0</v>
      </c>
      <c r="X65" s="1">
        <f t="shared" ref="X65" si="20">SUM(X63:X64)</f>
        <v>0</v>
      </c>
      <c r="Y65" s="1">
        <f t="shared" ref="Y65" si="21">SUM(Y63:Y64)</f>
        <v>0</v>
      </c>
      <c r="Z65" s="1">
        <f t="shared" ref="Z65" si="22">SUM(Z63:Z64)</f>
        <v>0</v>
      </c>
      <c r="AA65" s="1">
        <f t="shared" ref="AA65" si="23">SUM(AA63:AA64)</f>
        <v>0</v>
      </c>
      <c r="AB65" s="1">
        <f t="shared" ref="AB65" si="24">SUM(AB63:AB64)</f>
        <v>0</v>
      </c>
      <c r="AC65" s="1">
        <f t="shared" ref="AC65" si="25">SUM(AC63:AC64)</f>
        <v>0</v>
      </c>
      <c r="AD65" s="1">
        <f t="shared" ref="AD65" si="26">SUM(AD63:AD64)</f>
        <v>0</v>
      </c>
      <c r="AE65" s="1">
        <f t="shared" ref="AE65:AF65" si="27">SUM(AE63:AE64)</f>
        <v>0</v>
      </c>
      <c r="AF65" s="1">
        <f t="shared" si="27"/>
        <v>0</v>
      </c>
      <c r="AG65" s="1">
        <f t="shared" ref="AG65" si="28">SUM(AG63:AG64)</f>
        <v>0</v>
      </c>
      <c r="AH65" s="1">
        <f t="shared" ref="AH65" si="29">SUM(AH63:AH64)</f>
        <v>0</v>
      </c>
      <c r="AI65" s="1">
        <f t="shared" ref="AI65" si="30">SUM(AI63:AI64)</f>
        <v>0</v>
      </c>
      <c r="AJ65" s="1">
        <f t="shared" ref="AJ65" si="31">SUM(AJ63:AJ64)</f>
        <v>0</v>
      </c>
      <c r="AK65" s="1">
        <f t="shared" ref="AK65" si="32">SUM(AK63:AK64)</f>
        <v>0</v>
      </c>
    </row>
    <row r="66" spans="1:37" x14ac:dyDescent="0.3">
      <c r="A66" t="s">
        <v>179</v>
      </c>
      <c r="B66" s="1" t="s">
        <v>180</v>
      </c>
      <c r="C66" s="7" t="s">
        <v>169</v>
      </c>
      <c r="D66" s="19"/>
      <c r="E66" s="28">
        <f t="shared" ref="E66:R66" si="33">SUM(E61,E57,E56,E65)</f>
        <v>9726068</v>
      </c>
      <c r="F66" s="28">
        <f t="shared" si="33"/>
        <v>12921082</v>
      </c>
      <c r="G66" s="28">
        <f t="shared" si="33"/>
        <v>8500716</v>
      </c>
      <c r="H66" s="28">
        <f t="shared" si="33"/>
        <v>9118647</v>
      </c>
      <c r="I66" s="28">
        <f t="shared" si="33"/>
        <v>9120032</v>
      </c>
      <c r="J66" s="28">
        <f t="shared" si="33"/>
        <v>8462222</v>
      </c>
      <c r="K66" s="28">
        <f t="shared" si="33"/>
        <v>12161554</v>
      </c>
      <c r="L66" s="28">
        <f t="shared" si="33"/>
        <v>12376074</v>
      </c>
      <c r="M66" s="28">
        <f t="shared" si="33"/>
        <v>13120688</v>
      </c>
      <c r="N66" s="28">
        <f t="shared" si="33"/>
        <v>14381248</v>
      </c>
      <c r="O66" s="28">
        <f t="shared" si="33"/>
        <v>13963726</v>
      </c>
      <c r="P66" s="28">
        <f t="shared" si="33"/>
        <v>13745538</v>
      </c>
      <c r="Q66" s="28">
        <f t="shared" si="33"/>
        <v>0</v>
      </c>
      <c r="R66" s="28">
        <f t="shared" si="33"/>
        <v>0</v>
      </c>
      <c r="S66" s="28">
        <f>SUM(S61,S57,S56,S65)</f>
        <v>17745993</v>
      </c>
      <c r="T66" s="28">
        <f t="shared" ref="T66" si="34">SUM(T61,T57,T56,T65)</f>
        <v>20176135</v>
      </c>
      <c r="U66" s="28">
        <f t="shared" ref="U66" si="35">SUM(U61,U57,U56,U65)</f>
        <v>20168410</v>
      </c>
      <c r="V66" s="28">
        <f t="shared" ref="V66" si="36">SUM(V61,V57,V56,V65)</f>
        <v>0</v>
      </c>
      <c r="W66" s="28">
        <f t="shared" ref="W66" si="37">SUM(W61,W57,W56,W65)</f>
        <v>0</v>
      </c>
      <c r="X66" s="28">
        <f t="shared" ref="X66" si="38">SUM(X61,X57,X56,X65)</f>
        <v>0</v>
      </c>
      <c r="Y66" s="28">
        <f t="shared" ref="Y66" si="39">SUM(Y61,Y57,Y56,Y65)</f>
        <v>0</v>
      </c>
      <c r="Z66" s="28">
        <f t="shared" ref="Z66" si="40">SUM(Z61,Z57,Z56,Z65)</f>
        <v>0</v>
      </c>
      <c r="AA66" s="28">
        <f t="shared" ref="AA66" si="41">SUM(AA61,AA57,AA56,AA65)</f>
        <v>0</v>
      </c>
      <c r="AB66" s="28">
        <f t="shared" ref="AB66" si="42">SUM(AB61,AB57,AB56,AB65)</f>
        <v>0</v>
      </c>
      <c r="AC66" s="28">
        <f t="shared" ref="AC66" si="43">SUM(AC61,AC57,AC56,AC65)</f>
        <v>0</v>
      </c>
      <c r="AD66" s="28">
        <f t="shared" ref="AD66" si="44">SUM(AD61,AD57,AD56,AD65)</f>
        <v>0</v>
      </c>
      <c r="AE66" s="28">
        <f t="shared" ref="AE66:AF66" si="45">SUM(AE61,AE57,AE56,AE65)</f>
        <v>0</v>
      </c>
      <c r="AF66" s="28">
        <f t="shared" si="45"/>
        <v>0</v>
      </c>
      <c r="AG66" s="28">
        <f t="shared" ref="AG66" si="46">SUM(AG61,AG57,AG56,AG65)</f>
        <v>0</v>
      </c>
      <c r="AH66" s="28">
        <f t="shared" ref="AH66" si="47">SUM(AH61,AH57,AH56,AH65)</f>
        <v>0</v>
      </c>
      <c r="AI66" s="28">
        <f t="shared" ref="AI66" si="48">SUM(AI61,AI57,AI56,AI65)</f>
        <v>15033483</v>
      </c>
      <c r="AJ66" s="28">
        <f t="shared" ref="AJ66" si="49">SUM(AJ61,AJ57,AJ56,AJ65)</f>
        <v>16029150</v>
      </c>
      <c r="AK66" s="28">
        <f t="shared" ref="AK66" si="50">SUM(AK61,AK57,AK56,AK65)</f>
        <v>0</v>
      </c>
    </row>
    <row r="67" spans="1:37" x14ac:dyDescent="0.3">
      <c r="D67" s="19"/>
      <c r="E67" s="19"/>
      <c r="F67" s="19"/>
      <c r="AJ67" s="28"/>
    </row>
    <row r="68" spans="1:37" x14ac:dyDescent="0.3">
      <c r="AJ68" s="28"/>
    </row>
    <row r="69" spans="1:37" x14ac:dyDescent="0.3">
      <c r="AJ69" s="28"/>
    </row>
    <row r="70" spans="1:37" x14ac:dyDescent="0.3">
      <c r="AJ70" s="28"/>
    </row>
    <row r="71" spans="1:37" x14ac:dyDescent="0.3">
      <c r="AJ71" s="28"/>
    </row>
    <row r="72" spans="1:37" x14ac:dyDescent="0.3">
      <c r="AJ72" s="28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0"/>
  <sheetViews>
    <sheetView workbookViewId="0">
      <selection activeCell="F2" sqref="F2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17" style="1" bestFit="1" customWidth="1"/>
    <col min="6" max="6" width="12.88671875" style="1" bestFit="1" customWidth="1"/>
    <col min="7" max="7" width="12.21875" style="1" bestFit="1" customWidth="1"/>
    <col min="8" max="8" width="12.33203125" style="1" bestFit="1" customWidth="1"/>
    <col min="9" max="9" width="8.44140625" style="1" bestFit="1" customWidth="1"/>
    <col min="10" max="10" width="7.88671875" style="1" bestFit="1" customWidth="1"/>
    <col min="11" max="11" width="5.6640625" style="1" bestFit="1" customWidth="1"/>
    <col min="12" max="12" width="19" style="1" bestFit="1" customWidth="1"/>
    <col min="13" max="13" width="16.77734375" style="1" bestFit="1" customWidth="1"/>
    <col min="14" max="14" width="11.5546875" style="1" bestFit="1" customWidth="1"/>
    <col min="15" max="15" width="9.5546875" style="1" bestFit="1" customWidth="1"/>
    <col min="16" max="16" width="8.5546875" style="1" bestFit="1" customWidth="1"/>
    <col min="17" max="17" width="7.109375" style="1" bestFit="1" customWidth="1"/>
    <col min="18" max="18" width="7.21875" style="1" bestFit="1" customWidth="1"/>
    <col min="19" max="19" width="5.6640625" style="1" bestFit="1" customWidth="1"/>
    <col min="20" max="16384" width="8.88671875" style="1"/>
  </cols>
  <sheetData>
    <row r="1" spans="1:19" x14ac:dyDescent="0.3">
      <c r="A1" s="18" t="s">
        <v>0</v>
      </c>
      <c r="B1" s="18" t="s">
        <v>27</v>
      </c>
      <c r="C1" s="18" t="s">
        <v>2</v>
      </c>
      <c r="D1" s="18" t="s">
        <v>24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4</v>
      </c>
      <c r="J1" s="18" t="s">
        <v>5</v>
      </c>
      <c r="K1" s="18" t="s">
        <v>92</v>
      </c>
      <c r="L1" s="18" t="s">
        <v>170</v>
      </c>
      <c r="M1" s="18" t="s">
        <v>171</v>
      </c>
      <c r="N1" s="18" t="s">
        <v>172</v>
      </c>
      <c r="O1" s="18" t="s">
        <v>174</v>
      </c>
      <c r="P1" s="18" t="s">
        <v>93</v>
      </c>
      <c r="Q1" s="18" t="s">
        <v>94</v>
      </c>
      <c r="R1" s="18" t="s">
        <v>95</v>
      </c>
      <c r="S1" s="18" t="s">
        <v>96</v>
      </c>
    </row>
    <row r="2" spans="1:19" x14ac:dyDescent="0.3">
      <c r="A2" t="s">
        <v>179</v>
      </c>
      <c r="B2" s="1" t="s">
        <v>180</v>
      </c>
      <c r="C2" s="1">
        <v>2019</v>
      </c>
      <c r="D2" s="1" t="s">
        <v>181</v>
      </c>
      <c r="E2" s="48" t="s">
        <v>185</v>
      </c>
      <c r="F2" s="48" t="s">
        <v>182</v>
      </c>
      <c r="G2" s="48" t="s">
        <v>186</v>
      </c>
      <c r="H2" s="20">
        <v>10000000</v>
      </c>
      <c r="I2" s="1">
        <v>2019</v>
      </c>
      <c r="J2" s="1">
        <v>2047</v>
      </c>
      <c r="K2" s="1" t="s">
        <v>183</v>
      </c>
      <c r="L2" s="1">
        <v>110</v>
      </c>
      <c r="M2" s="1">
        <v>100</v>
      </c>
      <c r="N2" s="1" t="s">
        <v>187</v>
      </c>
      <c r="O2" s="1" t="s">
        <v>188</v>
      </c>
      <c r="P2" s="1" t="s">
        <v>184</v>
      </c>
      <c r="Q2" s="1" t="s">
        <v>188</v>
      </c>
      <c r="R2" s="1" t="s">
        <v>189</v>
      </c>
    </row>
    <row r="3" spans="1:19" x14ac:dyDescent="0.3">
      <c r="A3" t="s">
        <v>179</v>
      </c>
      <c r="B3" s="1" t="s">
        <v>180</v>
      </c>
      <c r="C3" s="1">
        <v>2018</v>
      </c>
      <c r="D3" s="1" t="s">
        <v>181</v>
      </c>
      <c r="E3" s="49" t="s">
        <v>185</v>
      </c>
      <c r="F3" s="48" t="s">
        <v>182</v>
      </c>
      <c r="G3" s="48" t="s">
        <v>186</v>
      </c>
      <c r="H3" s="20">
        <v>10000000</v>
      </c>
      <c r="I3" s="1">
        <v>2018</v>
      </c>
      <c r="J3" s="1">
        <v>2039</v>
      </c>
      <c r="K3" s="1" t="s">
        <v>183</v>
      </c>
      <c r="L3" s="1">
        <v>110</v>
      </c>
      <c r="M3" s="1">
        <v>100</v>
      </c>
      <c r="N3" s="1" t="s">
        <v>187</v>
      </c>
      <c r="O3" s="1" t="s">
        <v>188</v>
      </c>
      <c r="P3" s="1" t="s">
        <v>184</v>
      </c>
      <c r="Q3" s="1" t="s">
        <v>188</v>
      </c>
      <c r="R3" s="1" t="s">
        <v>189</v>
      </c>
    </row>
    <row r="4" spans="1:19" x14ac:dyDescent="0.3">
      <c r="A4" t="s">
        <v>179</v>
      </c>
      <c r="B4" s="1" t="s">
        <v>180</v>
      </c>
      <c r="C4" s="1">
        <v>2017</v>
      </c>
      <c r="D4" s="1" t="s">
        <v>181</v>
      </c>
      <c r="E4" s="49" t="s">
        <v>185</v>
      </c>
      <c r="F4" s="48" t="s">
        <v>182</v>
      </c>
      <c r="G4" s="48" t="s">
        <v>186</v>
      </c>
      <c r="H4" s="20">
        <v>7020000</v>
      </c>
      <c r="I4" s="1">
        <v>2017</v>
      </c>
      <c r="J4" s="1">
        <v>2026</v>
      </c>
      <c r="K4" s="1" t="s">
        <v>183</v>
      </c>
      <c r="L4" s="1">
        <v>110</v>
      </c>
      <c r="M4" s="1">
        <v>100</v>
      </c>
      <c r="N4" s="1" t="s">
        <v>187</v>
      </c>
      <c r="O4" s="1" t="s">
        <v>188</v>
      </c>
      <c r="P4" s="1" t="s">
        <v>184</v>
      </c>
      <c r="Q4" s="1" t="s">
        <v>188</v>
      </c>
      <c r="R4" s="1" t="s">
        <v>189</v>
      </c>
    </row>
    <row r="5" spans="1:19" x14ac:dyDescent="0.3">
      <c r="A5" t="s">
        <v>179</v>
      </c>
      <c r="B5" s="1" t="s">
        <v>180</v>
      </c>
      <c r="C5" s="1">
        <v>2003</v>
      </c>
      <c r="D5" s="1" t="s">
        <v>181</v>
      </c>
      <c r="E5" s="49" t="s">
        <v>185</v>
      </c>
      <c r="F5" s="48" t="s">
        <v>182</v>
      </c>
      <c r="G5" s="48" t="s">
        <v>185</v>
      </c>
      <c r="H5" s="1">
        <v>6645000</v>
      </c>
      <c r="I5" s="1">
        <v>2013</v>
      </c>
      <c r="J5" s="1">
        <v>2017</v>
      </c>
      <c r="K5" s="1" t="s">
        <v>183</v>
      </c>
      <c r="L5" s="1">
        <v>110</v>
      </c>
      <c r="M5" s="1">
        <v>100</v>
      </c>
      <c r="N5" s="1">
        <v>110</v>
      </c>
      <c r="O5" s="1" t="s">
        <v>188</v>
      </c>
      <c r="P5" s="1" t="s">
        <v>353</v>
      </c>
      <c r="Q5" s="1" t="s">
        <v>188</v>
      </c>
      <c r="R5" s="1" t="s">
        <v>354</v>
      </c>
    </row>
    <row r="6" spans="1:19" x14ac:dyDescent="0.3">
      <c r="A6" t="s">
        <v>179</v>
      </c>
      <c r="B6" s="1" t="s">
        <v>180</v>
      </c>
      <c r="C6" s="1">
        <v>1998</v>
      </c>
      <c r="D6" s="1" t="s">
        <v>181</v>
      </c>
      <c r="E6" s="48" t="s">
        <v>185</v>
      </c>
      <c r="F6" s="48" t="s">
        <v>185</v>
      </c>
      <c r="G6" s="48" t="s">
        <v>185</v>
      </c>
      <c r="H6" s="1">
        <v>1820000</v>
      </c>
      <c r="I6" s="1">
        <v>1998</v>
      </c>
      <c r="J6" s="1">
        <v>2020</v>
      </c>
      <c r="K6" s="1" t="s">
        <v>183</v>
      </c>
      <c r="L6" s="1">
        <v>110</v>
      </c>
      <c r="M6" s="1">
        <v>100</v>
      </c>
      <c r="N6" s="40"/>
      <c r="O6" s="1" t="s">
        <v>188</v>
      </c>
      <c r="P6" s="1" t="s">
        <v>353</v>
      </c>
      <c r="Q6" s="1" t="s">
        <v>188</v>
      </c>
      <c r="R6" s="1" t="s">
        <v>422</v>
      </c>
    </row>
    <row r="7" spans="1:19" x14ac:dyDescent="0.3">
      <c r="A7" t="s">
        <v>179</v>
      </c>
      <c r="B7" s="1" t="s">
        <v>180</v>
      </c>
      <c r="C7" s="1">
        <v>1995</v>
      </c>
      <c r="D7" s="1" t="s">
        <v>181</v>
      </c>
      <c r="E7" s="1" t="s">
        <v>448</v>
      </c>
      <c r="F7" s="1" t="s">
        <v>182</v>
      </c>
      <c r="H7" s="1">
        <v>1065000</v>
      </c>
      <c r="I7" s="1">
        <v>1995</v>
      </c>
      <c r="J7" s="1">
        <v>2017</v>
      </c>
      <c r="K7" s="1" t="s">
        <v>183</v>
      </c>
      <c r="L7" s="1">
        <v>110</v>
      </c>
      <c r="M7" s="1">
        <v>100</v>
      </c>
      <c r="P7" s="1" t="s">
        <v>353</v>
      </c>
      <c r="Q7" s="1" t="s">
        <v>188</v>
      </c>
      <c r="R7" s="1" t="s">
        <v>449</v>
      </c>
    </row>
    <row r="8" spans="1:19" x14ac:dyDescent="0.3">
      <c r="A8" t="s">
        <v>179</v>
      </c>
      <c r="B8" s="1" t="s">
        <v>180</v>
      </c>
      <c r="C8" s="1">
        <v>1994</v>
      </c>
      <c r="D8" s="1" t="s">
        <v>181</v>
      </c>
      <c r="E8" s="1" t="s">
        <v>185</v>
      </c>
      <c r="F8" s="1" t="s">
        <v>182</v>
      </c>
      <c r="H8" s="1">
        <v>6755000</v>
      </c>
      <c r="I8" s="1">
        <v>1994</v>
      </c>
      <c r="J8" s="1">
        <v>2017</v>
      </c>
      <c r="K8" s="1" t="s">
        <v>183</v>
      </c>
      <c r="L8" s="1">
        <v>110</v>
      </c>
      <c r="M8" s="1">
        <v>100</v>
      </c>
      <c r="N8" s="51">
        <v>590547.5</v>
      </c>
      <c r="O8" s="1" t="s">
        <v>188</v>
      </c>
      <c r="P8" s="1" t="s">
        <v>353</v>
      </c>
      <c r="Q8" s="1" t="s">
        <v>188</v>
      </c>
      <c r="R8" s="1" t="s">
        <v>471</v>
      </c>
    </row>
    <row r="9" spans="1:19" x14ac:dyDescent="0.3">
      <c r="A9" t="s">
        <v>179</v>
      </c>
      <c r="B9" s="1" t="s">
        <v>180</v>
      </c>
      <c r="C9" s="1">
        <v>1994</v>
      </c>
      <c r="D9" s="1" t="s">
        <v>181</v>
      </c>
      <c r="E9" s="1" t="s">
        <v>185</v>
      </c>
      <c r="F9" s="1" t="s">
        <v>182</v>
      </c>
      <c r="H9" s="1">
        <v>1000000</v>
      </c>
      <c r="I9" s="1">
        <v>1994</v>
      </c>
      <c r="J9" s="1">
        <v>1999</v>
      </c>
      <c r="K9" s="1" t="s">
        <v>469</v>
      </c>
      <c r="L9" s="1">
        <v>110</v>
      </c>
      <c r="M9" s="1">
        <v>100</v>
      </c>
      <c r="N9" s="51">
        <v>590547.5</v>
      </c>
      <c r="O9" s="1" t="s">
        <v>188</v>
      </c>
      <c r="P9" s="1" t="s">
        <v>353</v>
      </c>
      <c r="Q9" s="1" t="s">
        <v>470</v>
      </c>
      <c r="R9" s="1" t="s">
        <v>471</v>
      </c>
    </row>
    <row r="10" spans="1:19" x14ac:dyDescent="0.3">
      <c r="A10" t="s">
        <v>179</v>
      </c>
      <c r="B10" s="1" t="s">
        <v>180</v>
      </c>
      <c r="C10" s="1">
        <v>1992</v>
      </c>
      <c r="D10" s="1" t="s">
        <v>181</v>
      </c>
      <c r="E10" s="1" t="s">
        <v>185</v>
      </c>
      <c r="F10" s="1" t="s">
        <v>185</v>
      </c>
      <c r="G10" s="1" t="s">
        <v>185</v>
      </c>
      <c r="H10" s="1">
        <v>3455000</v>
      </c>
      <c r="I10" s="1">
        <v>1992</v>
      </c>
      <c r="J10" s="1">
        <v>2017</v>
      </c>
      <c r="K10" s="1" t="s">
        <v>183</v>
      </c>
      <c r="L10" s="1">
        <v>110</v>
      </c>
      <c r="M10" s="1">
        <v>100</v>
      </c>
      <c r="N10" s="1" t="s">
        <v>480</v>
      </c>
      <c r="O10" s="1" t="s">
        <v>188</v>
      </c>
      <c r="P10" s="1" t="s">
        <v>184</v>
      </c>
      <c r="Q10" s="1" t="s">
        <v>188</v>
      </c>
      <c r="R10" s="1" t="s">
        <v>449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0"/>
  <sheetViews>
    <sheetView workbookViewId="0">
      <selection activeCell="A2" sqref="A2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11.21875" style="1" bestFit="1" customWidth="1"/>
    <col min="5" max="5" width="6" style="1" bestFit="1" customWidth="1"/>
    <col min="6" max="6" width="13.77734375" style="25" bestFit="1" customWidth="1"/>
    <col min="7" max="7" width="13.6640625" style="25" bestFit="1" customWidth="1"/>
    <col min="8" max="8" width="15.33203125" style="30" bestFit="1" customWidth="1"/>
    <col min="9" max="9" width="5.6640625" style="1" bestFit="1" customWidth="1"/>
    <col min="10" max="16384" width="8.886718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24</v>
      </c>
      <c r="E1" s="8" t="s">
        <v>110</v>
      </c>
      <c r="F1" s="5" t="s">
        <v>32</v>
      </c>
      <c r="G1" s="9" t="s">
        <v>157</v>
      </c>
      <c r="H1" s="2" t="s">
        <v>158</v>
      </c>
      <c r="I1" s="4" t="s">
        <v>96</v>
      </c>
    </row>
    <row r="2" spans="1:9" x14ac:dyDescent="0.3">
      <c r="A2" t="s">
        <v>179</v>
      </c>
      <c r="B2" s="1" t="s">
        <v>180</v>
      </c>
      <c r="C2" s="1">
        <v>2019</v>
      </c>
      <c r="D2" s="1" t="s">
        <v>224</v>
      </c>
      <c r="E2" s="1">
        <v>2017</v>
      </c>
      <c r="F2" s="25">
        <v>4340583.43</v>
      </c>
      <c r="G2" s="25">
        <v>4326213</v>
      </c>
      <c r="H2" s="30">
        <v>0.99670000000000003</v>
      </c>
    </row>
    <row r="3" spans="1:9" x14ac:dyDescent="0.3">
      <c r="A3" t="s">
        <v>179</v>
      </c>
      <c r="B3" s="1" t="s">
        <v>180</v>
      </c>
      <c r="C3" s="1">
        <v>2019</v>
      </c>
      <c r="D3" s="1" t="s">
        <v>224</v>
      </c>
      <c r="E3" s="1">
        <v>2016</v>
      </c>
      <c r="F3" s="25">
        <v>4360962.12</v>
      </c>
      <c r="G3" s="25">
        <v>4426552</v>
      </c>
      <c r="H3" s="30">
        <v>1.0149999999999999</v>
      </c>
      <c r="I3" s="1" t="s">
        <v>330</v>
      </c>
    </row>
    <row r="4" spans="1:9" x14ac:dyDescent="0.3">
      <c r="A4" t="s">
        <v>179</v>
      </c>
      <c r="B4" s="1" t="s">
        <v>180</v>
      </c>
      <c r="C4" s="1">
        <v>2019</v>
      </c>
      <c r="D4" s="1" t="s">
        <v>224</v>
      </c>
      <c r="E4" s="1">
        <v>2015</v>
      </c>
      <c r="F4" s="25">
        <v>2758776.77</v>
      </c>
      <c r="G4" s="25">
        <v>2819712</v>
      </c>
      <c r="H4" s="30">
        <v>1.0221</v>
      </c>
      <c r="I4" s="1" t="s">
        <v>330</v>
      </c>
    </row>
    <row r="5" spans="1:9" x14ac:dyDescent="0.3">
      <c r="A5" t="s">
        <v>179</v>
      </c>
      <c r="B5" s="1" t="s">
        <v>180</v>
      </c>
      <c r="C5" s="1">
        <v>2019</v>
      </c>
      <c r="D5" s="1" t="s">
        <v>224</v>
      </c>
      <c r="E5" s="1">
        <v>2014</v>
      </c>
      <c r="F5" s="25">
        <v>2774776.13</v>
      </c>
      <c r="G5" s="25">
        <v>2727247</v>
      </c>
      <c r="H5" s="30">
        <v>0.9829</v>
      </c>
    </row>
    <row r="6" spans="1:9" x14ac:dyDescent="0.3">
      <c r="A6" t="s">
        <v>179</v>
      </c>
      <c r="B6" s="1" t="s">
        <v>180</v>
      </c>
      <c r="C6" s="1">
        <v>2019</v>
      </c>
      <c r="D6" s="1" t="s">
        <v>224</v>
      </c>
      <c r="E6" s="1">
        <v>2013</v>
      </c>
      <c r="F6" s="25">
        <v>2733401.09</v>
      </c>
      <c r="G6" s="25">
        <v>2734974</v>
      </c>
      <c r="H6" s="30">
        <v>1.0005999999999999</v>
      </c>
      <c r="I6" s="1" t="s">
        <v>330</v>
      </c>
    </row>
    <row r="7" spans="1:9" x14ac:dyDescent="0.3">
      <c r="A7" t="s">
        <v>179</v>
      </c>
      <c r="B7" s="1" t="s">
        <v>180</v>
      </c>
      <c r="C7" s="1">
        <v>2019</v>
      </c>
      <c r="D7" s="1" t="s">
        <v>249</v>
      </c>
      <c r="E7" s="1">
        <v>2017</v>
      </c>
      <c r="F7" s="25">
        <v>1542300.45</v>
      </c>
      <c r="G7" s="25">
        <v>1512527</v>
      </c>
      <c r="H7" s="30">
        <v>0.98070000000000002</v>
      </c>
    </row>
    <row r="8" spans="1:9" x14ac:dyDescent="0.3">
      <c r="A8" t="s">
        <v>179</v>
      </c>
      <c r="B8" s="1" t="s">
        <v>180</v>
      </c>
      <c r="C8" s="1">
        <v>2019</v>
      </c>
      <c r="D8" s="1" t="s">
        <v>249</v>
      </c>
      <c r="E8" s="1">
        <v>2016</v>
      </c>
      <c r="F8" s="25">
        <v>1730606.5</v>
      </c>
      <c r="G8" s="25">
        <v>1697316</v>
      </c>
      <c r="H8" s="30">
        <v>0.98080000000000001</v>
      </c>
    </row>
    <row r="9" spans="1:9" x14ac:dyDescent="0.3">
      <c r="A9" t="s">
        <v>179</v>
      </c>
      <c r="B9" s="1" t="s">
        <v>180</v>
      </c>
      <c r="C9" s="1">
        <v>2019</v>
      </c>
      <c r="D9" s="1" t="s">
        <v>249</v>
      </c>
      <c r="E9" s="1">
        <v>2015</v>
      </c>
      <c r="F9" s="25">
        <v>1797569.97</v>
      </c>
      <c r="G9" s="25">
        <v>1760681</v>
      </c>
      <c r="H9" s="30">
        <v>0.97950000000000004</v>
      </c>
    </row>
    <row r="10" spans="1:9" x14ac:dyDescent="0.3">
      <c r="A10" t="s">
        <v>179</v>
      </c>
      <c r="B10" s="1" t="s">
        <v>180</v>
      </c>
      <c r="C10" s="1">
        <v>2019</v>
      </c>
      <c r="D10" s="1" t="s">
        <v>249</v>
      </c>
      <c r="E10" s="1">
        <v>2014</v>
      </c>
      <c r="F10" s="25">
        <v>1800410.36</v>
      </c>
      <c r="G10" s="25">
        <v>1752515</v>
      </c>
      <c r="H10" s="30">
        <v>0.97340000000000004</v>
      </c>
    </row>
    <row r="11" spans="1:9" x14ac:dyDescent="0.3">
      <c r="A11" t="s">
        <v>179</v>
      </c>
      <c r="B11" s="1" t="s">
        <v>180</v>
      </c>
      <c r="C11" s="1">
        <v>2019</v>
      </c>
      <c r="D11" s="1" t="s">
        <v>249</v>
      </c>
      <c r="E11" s="1">
        <v>2013</v>
      </c>
      <c r="F11" s="25">
        <v>1785630.62</v>
      </c>
      <c r="G11" s="25">
        <v>1753095</v>
      </c>
      <c r="H11" s="30">
        <v>0.98180000000000001</v>
      </c>
    </row>
    <row r="12" spans="1:9" x14ac:dyDescent="0.3">
      <c r="A12" t="s">
        <v>179</v>
      </c>
      <c r="B12" s="1" t="s">
        <v>180</v>
      </c>
      <c r="C12" s="1">
        <v>2017</v>
      </c>
      <c r="D12" s="1" t="s">
        <v>224</v>
      </c>
      <c r="E12" s="1">
        <v>2012</v>
      </c>
      <c r="F12" s="25">
        <v>2660772.0099999998</v>
      </c>
      <c r="G12" s="25">
        <v>2659450</v>
      </c>
      <c r="H12" s="30">
        <v>0.99950000000000006</v>
      </c>
    </row>
    <row r="13" spans="1:9" x14ac:dyDescent="0.3">
      <c r="A13" t="s">
        <v>179</v>
      </c>
      <c r="B13" s="1" t="s">
        <v>180</v>
      </c>
      <c r="C13" s="1">
        <v>2017</v>
      </c>
      <c r="D13" s="1" t="s">
        <v>249</v>
      </c>
      <c r="E13" s="1">
        <v>2012</v>
      </c>
      <c r="F13" s="25">
        <v>1700386.37</v>
      </c>
      <c r="G13" s="25">
        <v>1687073</v>
      </c>
      <c r="H13" s="30">
        <v>0.99219999999999997</v>
      </c>
    </row>
    <row r="14" spans="1:9" x14ac:dyDescent="0.3">
      <c r="A14"/>
    </row>
    <row r="15" spans="1:9" x14ac:dyDescent="0.3">
      <c r="A15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ADC4-69DA-4044-AD3F-3F1504F69C47}">
  <dimension ref="A1:AK38"/>
  <sheetViews>
    <sheetView tabSelected="1" workbookViewId="0">
      <selection activeCell="B17" sqref="B17:AK26"/>
    </sheetView>
  </sheetViews>
  <sheetFormatPr defaultRowHeight="14.4" x14ac:dyDescent="0.3"/>
  <cols>
    <col min="1" max="1" width="6.88671875" customWidth="1"/>
    <col min="2" max="2" width="61.109375" customWidth="1"/>
    <col min="3" max="3" width="16.33203125" customWidth="1"/>
    <col min="4" max="4" width="2.5546875" customWidth="1"/>
    <col min="5" max="9" width="11.5546875" bestFit="1" customWidth="1"/>
    <col min="10" max="13" width="12.5546875" bestFit="1" customWidth="1"/>
    <col min="14" max="16" width="11.5546875" bestFit="1" customWidth="1"/>
    <col min="17" max="17" width="12.5546875" bestFit="1" customWidth="1"/>
    <col min="18" max="27" width="10.5546875" bestFit="1" customWidth="1"/>
    <col min="28" max="31" width="10" bestFit="1" customWidth="1"/>
    <col min="35" max="35" width="11.44140625" bestFit="1" customWidth="1"/>
    <col min="36" max="36" width="10.44140625" bestFit="1" customWidth="1"/>
    <col min="37" max="37" width="12" bestFit="1" customWidth="1"/>
  </cols>
  <sheetData>
    <row r="1" spans="1:37" x14ac:dyDescent="0.3">
      <c r="B1" s="53" t="s">
        <v>495</v>
      </c>
      <c r="C1" s="53" t="s">
        <v>496</v>
      </c>
      <c r="D1" s="53"/>
      <c r="E1" s="53">
        <v>1986</v>
      </c>
      <c r="F1" s="53">
        <v>1987</v>
      </c>
      <c r="G1" s="53">
        <v>1988</v>
      </c>
      <c r="H1" s="53">
        <v>1989</v>
      </c>
      <c r="I1" s="53">
        <v>1990</v>
      </c>
      <c r="J1" s="53">
        <v>1991</v>
      </c>
      <c r="K1" s="53">
        <v>1992</v>
      </c>
      <c r="L1" s="53">
        <v>1993</v>
      </c>
      <c r="M1" s="53">
        <v>1994</v>
      </c>
      <c r="N1" s="53">
        <v>1995</v>
      </c>
      <c r="O1" s="53">
        <v>1996</v>
      </c>
      <c r="P1" s="53">
        <v>1997</v>
      </c>
      <c r="Q1" s="53">
        <v>1998</v>
      </c>
      <c r="R1" s="53">
        <v>1999</v>
      </c>
      <c r="S1" s="53">
        <v>2000</v>
      </c>
      <c r="T1" s="53">
        <v>2001</v>
      </c>
      <c r="U1" s="53">
        <v>2002</v>
      </c>
      <c r="V1" s="53">
        <v>2003</v>
      </c>
      <c r="W1" s="53">
        <v>2004</v>
      </c>
      <c r="X1" s="53">
        <v>2005</v>
      </c>
      <c r="Y1" s="53">
        <v>2006</v>
      </c>
      <c r="Z1" s="53">
        <v>2007</v>
      </c>
      <c r="AA1" s="53">
        <v>2008</v>
      </c>
      <c r="AB1" s="53">
        <v>2009</v>
      </c>
      <c r="AC1" s="53">
        <v>2010</v>
      </c>
      <c r="AD1" s="53">
        <v>2011</v>
      </c>
      <c r="AE1" s="53">
        <v>2012</v>
      </c>
      <c r="AF1" s="53">
        <v>2013</v>
      </c>
      <c r="AG1" s="53">
        <v>2014</v>
      </c>
      <c r="AH1" s="53">
        <v>2015</v>
      </c>
      <c r="AI1" s="53">
        <v>2016</v>
      </c>
      <c r="AJ1" s="53">
        <v>2017</v>
      </c>
      <c r="AK1" s="53">
        <v>2018</v>
      </c>
    </row>
    <row r="2" spans="1:37" ht="15.6" x14ac:dyDescent="0.3">
      <c r="A2" t="s">
        <v>497</v>
      </c>
      <c r="B2" s="54" t="s">
        <v>69</v>
      </c>
      <c r="C2" s="55" t="s">
        <v>498</v>
      </c>
      <c r="D2" s="55" t="s">
        <v>416</v>
      </c>
      <c r="E2">
        <f>fiscal!E14</f>
        <v>1778615</v>
      </c>
      <c r="F2">
        <f>fiscal!F14</f>
        <v>2113579</v>
      </c>
      <c r="G2">
        <f>fiscal!G14</f>
        <v>2068072</v>
      </c>
      <c r="H2">
        <f>fiscal!H14</f>
        <v>1933783</v>
      </c>
      <c r="I2">
        <f>fiscal!I14</f>
        <v>2140642</v>
      </c>
      <c r="J2">
        <f>fiscal!J14</f>
        <v>2137068</v>
      </c>
      <c r="K2">
        <f>fiscal!K14</f>
        <v>2609791</v>
      </c>
      <c r="L2">
        <f>fiscal!L14</f>
        <v>2763110</v>
      </c>
      <c r="M2">
        <f>fiscal!M14</f>
        <v>2883611</v>
      </c>
      <c r="N2">
        <f>fiscal!N14</f>
        <v>2898445</v>
      </c>
      <c r="O2">
        <f>fiscal!O14</f>
        <v>2784169</v>
      </c>
      <c r="P2">
        <f>fiscal!P14</f>
        <v>3130322</v>
      </c>
      <c r="Q2">
        <f>fiscal!Q14</f>
        <v>3335671</v>
      </c>
      <c r="R2">
        <f>fiscal!R14</f>
        <v>0</v>
      </c>
      <c r="S2">
        <f>fiscal!S14</f>
        <v>3913525</v>
      </c>
      <c r="T2">
        <f>fiscal!T14</f>
        <v>4172171</v>
      </c>
      <c r="U2">
        <f>fiscal!U14</f>
        <v>3905342</v>
      </c>
      <c r="V2">
        <f>fiscal!V14</f>
        <v>3720700</v>
      </c>
      <c r="W2">
        <f>fiscal!W14</f>
        <v>0</v>
      </c>
      <c r="X2">
        <f>fiscal!X14</f>
        <v>0</v>
      </c>
      <c r="Y2">
        <f>fiscal!Y14</f>
        <v>0</v>
      </c>
      <c r="Z2">
        <f>fiscal!Z14</f>
        <v>0</v>
      </c>
      <c r="AA2">
        <f>fiscal!AA14</f>
        <v>0</v>
      </c>
      <c r="AB2">
        <f>fiscal!AB14</f>
        <v>0</v>
      </c>
      <c r="AC2">
        <f>fiscal!AC14</f>
        <v>0</v>
      </c>
      <c r="AD2">
        <f>fiscal!AD14</f>
        <v>0</v>
      </c>
      <c r="AE2">
        <f>fiscal!AE14</f>
        <v>0</v>
      </c>
      <c r="AF2">
        <f>fiscal!AF14</f>
        <v>0</v>
      </c>
      <c r="AG2">
        <f>fiscal!AG14</f>
        <v>4603407</v>
      </c>
      <c r="AH2">
        <f>fiscal!AH14</f>
        <v>4729868</v>
      </c>
      <c r="AI2">
        <f>fiscal!AI14</f>
        <v>6272300</v>
      </c>
      <c r="AJ2">
        <f>fiscal!AJ14</f>
        <v>5999659</v>
      </c>
      <c r="AK2">
        <f>fiscal!AK14</f>
        <v>0</v>
      </c>
    </row>
    <row r="3" spans="1:37" ht="15.6" x14ac:dyDescent="0.3">
      <c r="A3" t="s">
        <v>499</v>
      </c>
      <c r="B3" s="54" t="s">
        <v>71</v>
      </c>
      <c r="C3" s="55" t="s">
        <v>500</v>
      </c>
      <c r="D3" s="55" t="s">
        <v>416</v>
      </c>
      <c r="E3">
        <f>fiscal!E24</f>
        <v>1696241</v>
      </c>
      <c r="F3">
        <f>fiscal!F24</f>
        <v>1871351</v>
      </c>
      <c r="G3">
        <f>fiscal!G24</f>
        <v>1703219</v>
      </c>
      <c r="H3">
        <f>fiscal!H24</f>
        <v>1809633</v>
      </c>
      <c r="I3">
        <f>fiscal!I24</f>
        <v>1933544</v>
      </c>
      <c r="J3">
        <f>fiscal!J24</f>
        <v>1926227</v>
      </c>
      <c r="K3">
        <f>fiscal!K24</f>
        <v>2179187</v>
      </c>
      <c r="L3">
        <f>fiscal!L24</f>
        <v>2319900</v>
      </c>
      <c r="M3">
        <f>fiscal!M24</f>
        <v>2363453</v>
      </c>
      <c r="N3">
        <f>fiscal!N24</f>
        <v>2529855</v>
      </c>
      <c r="O3">
        <f>fiscal!O24</f>
        <v>2740037</v>
      </c>
      <c r="P3">
        <f>fiscal!P24</f>
        <v>2712589</v>
      </c>
      <c r="Q3">
        <f>fiscal!Q24</f>
        <v>3308434</v>
      </c>
      <c r="R3">
        <f>fiscal!R24</f>
        <v>0</v>
      </c>
      <c r="S3">
        <f>fiscal!S24</f>
        <v>3053964</v>
      </c>
      <c r="T3">
        <f>fiscal!T24</f>
        <v>3305682</v>
      </c>
      <c r="U3">
        <f>fiscal!U24</f>
        <v>3038172</v>
      </c>
      <c r="V3">
        <f>fiscal!V24</f>
        <v>3010019</v>
      </c>
      <c r="W3">
        <f>fiscal!W24</f>
        <v>0</v>
      </c>
      <c r="X3">
        <f>fiscal!X24</f>
        <v>0</v>
      </c>
      <c r="Y3">
        <f>fiscal!Y24</f>
        <v>0</v>
      </c>
      <c r="Z3">
        <f>fiscal!Z24</f>
        <v>0</v>
      </c>
      <c r="AA3">
        <f>fiscal!AA24</f>
        <v>0</v>
      </c>
      <c r="AB3">
        <f>fiscal!AB24</f>
        <v>0</v>
      </c>
      <c r="AC3">
        <f>fiscal!AC24</f>
        <v>0</v>
      </c>
      <c r="AD3">
        <f>fiscal!AD24</f>
        <v>0</v>
      </c>
      <c r="AE3">
        <f>fiscal!AE24</f>
        <v>0</v>
      </c>
      <c r="AF3">
        <f>fiscal!AF24</f>
        <v>0</v>
      </c>
      <c r="AG3">
        <f>fiscal!AG24</f>
        <v>3964294</v>
      </c>
      <c r="AH3">
        <f>fiscal!AH24</f>
        <v>4103609</v>
      </c>
      <c r="AI3">
        <f>fiscal!AI24</f>
        <v>4213288</v>
      </c>
      <c r="AJ3">
        <f>fiscal!AJ24</f>
        <v>4567790</v>
      </c>
      <c r="AK3">
        <f>fiscal!AK24</f>
        <v>0</v>
      </c>
    </row>
    <row r="4" spans="1:37" ht="15.6" x14ac:dyDescent="0.3">
      <c r="A4" t="s">
        <v>501</v>
      </c>
      <c r="B4" s="54" t="s">
        <v>502</v>
      </c>
      <c r="C4" s="55" t="s">
        <v>503</v>
      </c>
      <c r="D4" s="55" t="s">
        <v>416</v>
      </c>
      <c r="E4" s="67">
        <f>fiscal!E23</f>
        <v>176265</v>
      </c>
      <c r="F4" s="67">
        <f>fiscal!F23</f>
        <v>193654</v>
      </c>
      <c r="G4" s="67">
        <f>fiscal!G23</f>
        <v>183060</v>
      </c>
      <c r="H4" s="67">
        <f>fiscal!H23</f>
        <v>186080</v>
      </c>
      <c r="I4" s="67">
        <f>fiscal!I23</f>
        <v>192593</v>
      </c>
      <c r="J4" s="67">
        <f>fiscal!J23</f>
        <v>205271</v>
      </c>
      <c r="K4" s="67">
        <f>fiscal!K23</f>
        <v>216225</v>
      </c>
      <c r="L4" s="67">
        <f>fiscal!L23</f>
        <v>229866</v>
      </c>
      <c r="M4" s="67">
        <f>fiscal!M23</f>
        <v>202336</v>
      </c>
      <c r="N4" s="67">
        <f>fiscal!N23</f>
        <v>218059</v>
      </c>
      <c r="O4" s="67">
        <f>fiscal!O23</f>
        <v>273666</v>
      </c>
      <c r="P4" s="67">
        <f>fiscal!P23</f>
        <v>282709</v>
      </c>
      <c r="Q4" s="67">
        <f>fiscal!Q23</f>
        <v>681019</v>
      </c>
      <c r="R4" s="67">
        <f>fiscal!R23</f>
        <v>0</v>
      </c>
      <c r="S4" s="67">
        <f>fiscal!S23</f>
        <v>303613</v>
      </c>
      <c r="T4" s="67">
        <f>fiscal!T23</f>
        <v>360848</v>
      </c>
      <c r="U4" s="67">
        <f>fiscal!U23</f>
        <v>404124</v>
      </c>
      <c r="V4" s="67">
        <f>fiscal!V23</f>
        <v>667617</v>
      </c>
      <c r="W4" s="67">
        <f>fiscal!W23</f>
        <v>0</v>
      </c>
      <c r="X4" s="67">
        <f>fiscal!X23</f>
        <v>0</v>
      </c>
      <c r="Y4" s="67">
        <f>fiscal!Y23</f>
        <v>0</v>
      </c>
      <c r="Z4" s="67">
        <f>fiscal!Z23</f>
        <v>0</v>
      </c>
      <c r="AA4" s="67">
        <f>fiscal!AA23</f>
        <v>0</v>
      </c>
      <c r="AB4" s="67">
        <f>fiscal!AB23</f>
        <v>0</v>
      </c>
      <c r="AC4" s="67">
        <f>fiscal!AC23</f>
        <v>0</v>
      </c>
      <c r="AD4" s="67">
        <f>fiscal!AD23</f>
        <v>0</v>
      </c>
      <c r="AE4" s="67">
        <f>fiscal!AE23</f>
        <v>0</v>
      </c>
      <c r="AF4" s="67">
        <f>fiscal!AF23</f>
        <v>0</v>
      </c>
      <c r="AG4" s="67">
        <f>fiscal!AG23</f>
        <v>652053</v>
      </c>
      <c r="AH4" s="67">
        <f>fiscal!AH23</f>
        <v>653969</v>
      </c>
      <c r="AI4" s="67">
        <f>fiscal!AI23</f>
        <v>793888</v>
      </c>
      <c r="AJ4" s="67">
        <f>fiscal!AJ23</f>
        <v>809179</v>
      </c>
      <c r="AK4" s="67">
        <f>fiscal!AK23</f>
        <v>0</v>
      </c>
    </row>
    <row r="5" spans="1:37" ht="15.6" x14ac:dyDescent="0.3">
      <c r="A5" t="s">
        <v>504</v>
      </c>
      <c r="B5" s="54" t="s">
        <v>505</v>
      </c>
      <c r="C5" s="55" t="s">
        <v>506</v>
      </c>
      <c r="D5" s="55" t="s">
        <v>416</v>
      </c>
      <c r="E5">
        <f>assets!E37</f>
        <v>45000</v>
      </c>
      <c r="F5">
        <f>assets!F37</f>
        <v>100000</v>
      </c>
      <c r="G5">
        <f>assets!G37</f>
        <v>40000</v>
      </c>
      <c r="H5">
        <f>assets!H37</f>
        <v>45000</v>
      </c>
      <c r="I5">
        <f>assets!I37</f>
        <v>45000</v>
      </c>
      <c r="J5">
        <f>assets!J37</f>
        <v>50000</v>
      </c>
      <c r="K5">
        <f>assets!K37</f>
        <v>123941</v>
      </c>
      <c r="L5">
        <f>assets!L37</f>
        <v>134434</v>
      </c>
      <c r="M5">
        <f>assets!M37</f>
        <v>248502</v>
      </c>
      <c r="N5">
        <f>assets!N37</f>
        <v>265155</v>
      </c>
      <c r="O5">
        <f>assets!O37</f>
        <v>309440</v>
      </c>
      <c r="P5">
        <f>assets!P37</f>
        <v>366781</v>
      </c>
      <c r="Q5">
        <f>assets!Q37</f>
        <v>0</v>
      </c>
      <c r="R5">
        <f>assets!R37</f>
        <v>0</v>
      </c>
      <c r="S5">
        <f>assets!S37</f>
        <v>372375</v>
      </c>
      <c r="T5">
        <f>assets!T37</f>
        <v>395877</v>
      </c>
      <c r="U5">
        <f>assets!U37</f>
        <v>601665</v>
      </c>
      <c r="V5">
        <f>assets!V37</f>
        <v>0</v>
      </c>
      <c r="W5">
        <f>assets!W37</f>
        <v>0</v>
      </c>
      <c r="X5">
        <f>assets!X37</f>
        <v>0</v>
      </c>
      <c r="Y5">
        <f>assets!Y37</f>
        <v>0</v>
      </c>
      <c r="Z5">
        <f>assets!Z37</f>
        <v>0</v>
      </c>
      <c r="AA5">
        <f>assets!AA37</f>
        <v>0</v>
      </c>
      <c r="AB5">
        <f>assets!AB37</f>
        <v>0</v>
      </c>
      <c r="AC5">
        <f>assets!AC37</f>
        <v>0</v>
      </c>
      <c r="AD5">
        <f>assets!AD37</f>
        <v>0</v>
      </c>
      <c r="AE5">
        <f>assets!AE37</f>
        <v>0</v>
      </c>
      <c r="AF5">
        <f>assets!AF37</f>
        <v>0</v>
      </c>
      <c r="AG5">
        <f>assets!AG37</f>
        <v>0</v>
      </c>
      <c r="AH5">
        <f>assets!AH37</f>
        <v>0</v>
      </c>
      <c r="AI5">
        <f>assets!AI37</f>
        <v>1024434</v>
      </c>
      <c r="AJ5">
        <f>assets!AJ37</f>
        <v>185000</v>
      </c>
      <c r="AK5">
        <f>assets!AK37</f>
        <v>0</v>
      </c>
    </row>
    <row r="6" spans="1:37" ht="15.6" x14ac:dyDescent="0.3">
      <c r="A6" t="s">
        <v>508</v>
      </c>
      <c r="B6" s="54" t="s">
        <v>507</v>
      </c>
      <c r="C6" s="55" t="s">
        <v>506</v>
      </c>
      <c r="D6" s="55" t="s">
        <v>416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 ht="15.6" x14ac:dyDescent="0.3">
      <c r="A7" t="s">
        <v>510</v>
      </c>
      <c r="B7" s="54" t="s">
        <v>509</v>
      </c>
      <c r="C7" s="55" t="s">
        <v>511</v>
      </c>
      <c r="D7" s="55" t="s">
        <v>416</v>
      </c>
      <c r="E7" s="67">
        <f>assets!E13-assets!E8-assets!E7</f>
        <v>990379</v>
      </c>
      <c r="F7" s="67">
        <f>assets!F13-assets!F8-assets!F7</f>
        <v>1463820</v>
      </c>
      <c r="G7" s="67">
        <f>assets!G13-assets!G8-assets!G7</f>
        <v>1794871</v>
      </c>
      <c r="H7" s="67">
        <f>assets!H13-assets!H8-assets!H7</f>
        <v>1760645</v>
      </c>
      <c r="I7" s="67">
        <f>assets!I13-assets!I8-assets!I7</f>
        <v>1719113</v>
      </c>
      <c r="J7" s="67">
        <f>assets!J13-assets!J8-assets!J7</f>
        <v>1070586</v>
      </c>
      <c r="K7" s="67">
        <f>assets!K13-assets!K8-assets!K7</f>
        <v>1183948</v>
      </c>
      <c r="L7" s="67">
        <f>assets!L13-assets!L8-assets!L7</f>
        <v>1564149</v>
      </c>
      <c r="M7" s="67">
        <f>assets!M13-assets!M8-assets!M7</f>
        <v>1923920</v>
      </c>
      <c r="N7" s="67">
        <f>assets!N13-assets!N8-assets!N7</f>
        <v>1694844</v>
      </c>
      <c r="O7" s="67">
        <f>assets!O13-assets!O8-assets!O7</f>
        <v>1372312</v>
      </c>
      <c r="P7" s="67">
        <f>assets!P13-assets!P8-assets!P7</f>
        <v>1368630</v>
      </c>
      <c r="Q7" s="67">
        <f>assets!Q13-assets!Q8-assets!Q7</f>
        <v>0</v>
      </c>
      <c r="R7" s="67">
        <f>assets!R13-assets!R8-assets!R7</f>
        <v>0</v>
      </c>
      <c r="S7" s="67">
        <f>assets!S13-assets!S8-assets!S7</f>
        <v>2340304</v>
      </c>
      <c r="T7" s="67">
        <f>assets!T13-assets!T8-assets!T7</f>
        <v>2536198</v>
      </c>
      <c r="U7" s="67">
        <f>assets!U13-assets!U8-assets!U7</f>
        <v>2152606</v>
      </c>
      <c r="V7" s="67">
        <f>assets!V13-assets!V8-assets!V7</f>
        <v>0</v>
      </c>
      <c r="W7" s="67">
        <f>assets!W13-assets!W8-assets!W7</f>
        <v>0</v>
      </c>
      <c r="X7" s="67">
        <f>assets!X13-assets!X8-assets!X7</f>
        <v>0</v>
      </c>
      <c r="Y7" s="67">
        <f>assets!Y13-assets!Y8-assets!Y7</f>
        <v>0</v>
      </c>
      <c r="Z7" s="67">
        <f>assets!Z13-assets!Z8-assets!Z7</f>
        <v>0</v>
      </c>
      <c r="AA7" s="67">
        <f>assets!AA13-assets!AA8-assets!AA7</f>
        <v>0</v>
      </c>
      <c r="AB7" s="67">
        <f>assets!AB13-assets!AB8-assets!AB7</f>
        <v>0</v>
      </c>
      <c r="AC7" s="67">
        <f>assets!AC13-assets!AC8-assets!AC7</f>
        <v>0</v>
      </c>
      <c r="AD7" s="67">
        <f>assets!AD13-assets!AD8-assets!AD7</f>
        <v>0</v>
      </c>
      <c r="AE7" s="67">
        <f>assets!AE13-assets!AE8-assets!AE7</f>
        <v>0</v>
      </c>
      <c r="AF7" s="67">
        <f>assets!AF13-assets!AF8-assets!AF7</f>
        <v>0</v>
      </c>
      <c r="AG7" s="67">
        <f>assets!AG13-assets!AG8-assets!AG7</f>
        <v>0</v>
      </c>
      <c r="AH7" s="67">
        <f>assets!AH13-assets!AH8-assets!AH7</f>
        <v>0</v>
      </c>
      <c r="AI7" s="67">
        <f>assets!AI13-assets!AI8-assets!AI7</f>
        <v>2945124</v>
      </c>
      <c r="AJ7" s="67">
        <f>assets!AJ13-assets!AJ8-assets!AJ7</f>
        <v>3436317</v>
      </c>
      <c r="AK7" s="67">
        <f>assets!AK13-assets!AK8-assets!AK7</f>
        <v>0</v>
      </c>
    </row>
    <row r="8" spans="1:37" ht="15.6" x14ac:dyDescent="0.3">
      <c r="A8" t="s">
        <v>513</v>
      </c>
      <c r="B8" s="54" t="s">
        <v>512</v>
      </c>
      <c r="C8" s="55" t="s">
        <v>514</v>
      </c>
      <c r="D8" s="55" t="s">
        <v>416</v>
      </c>
      <c r="E8" s="67">
        <f>assets!E45-assets!E35</f>
        <v>642293</v>
      </c>
      <c r="F8" s="67">
        <f>assets!F45-assets!F35</f>
        <v>981308</v>
      </c>
      <c r="G8" s="67">
        <f>assets!G45-assets!G35</f>
        <v>839226</v>
      </c>
      <c r="H8" s="67">
        <f>assets!H45-assets!H35</f>
        <v>818253</v>
      </c>
      <c r="I8" s="67">
        <f>assets!I45-assets!I35</f>
        <v>804948</v>
      </c>
      <c r="J8" s="67">
        <f>assets!J45-assets!J35</f>
        <v>168718</v>
      </c>
      <c r="K8" s="67">
        <f>assets!K45-assets!K35</f>
        <v>555992</v>
      </c>
      <c r="L8" s="67">
        <f>assets!L45-assets!L35</f>
        <v>417468</v>
      </c>
      <c r="M8" s="67">
        <f>assets!M45-assets!M35</f>
        <v>631494</v>
      </c>
      <c r="N8" s="67">
        <f>assets!N45-assets!N35</f>
        <v>774065</v>
      </c>
      <c r="O8" s="67">
        <f>assets!O45-assets!O35</f>
        <v>450089</v>
      </c>
      <c r="P8" s="67">
        <f>assets!P45-assets!P35</f>
        <v>547414</v>
      </c>
      <c r="Q8" s="67">
        <f>assets!Q45-assets!Q35</f>
        <v>0</v>
      </c>
      <c r="R8" s="67">
        <f>assets!R45-assets!R35</f>
        <v>0</v>
      </c>
      <c r="S8" s="67">
        <f>assets!S45-assets!S35</f>
        <v>457226</v>
      </c>
      <c r="T8" s="67">
        <f>assets!T45-assets!T35</f>
        <v>929404</v>
      </c>
      <c r="U8" s="67">
        <f>assets!U45-assets!U35</f>
        <v>758391</v>
      </c>
      <c r="V8" s="67">
        <f>assets!V45-assets!V35</f>
        <v>0</v>
      </c>
      <c r="W8" s="67">
        <f>assets!W45-assets!W35</f>
        <v>0</v>
      </c>
      <c r="X8" s="67">
        <f>assets!X45-assets!X35</f>
        <v>0</v>
      </c>
      <c r="Y8" s="67">
        <f>assets!Y45-assets!Y35</f>
        <v>0</v>
      </c>
      <c r="Z8" s="67">
        <f>assets!Z45-assets!Z35</f>
        <v>0</v>
      </c>
      <c r="AA8" s="67">
        <f>assets!AA45-assets!AA35</f>
        <v>0</v>
      </c>
      <c r="AB8" s="67">
        <f>assets!AB45-assets!AB35</f>
        <v>0</v>
      </c>
      <c r="AC8" s="67">
        <f>assets!AC45-assets!AC35</f>
        <v>0</v>
      </c>
      <c r="AD8" s="67">
        <f>assets!AD45-assets!AD35</f>
        <v>0</v>
      </c>
      <c r="AE8" s="67">
        <f>assets!AE45-assets!AE35</f>
        <v>0</v>
      </c>
      <c r="AF8" s="67">
        <f>assets!AF45-assets!AF35</f>
        <v>0</v>
      </c>
      <c r="AG8" s="67">
        <f>assets!AG45-assets!AG35</f>
        <v>0</v>
      </c>
      <c r="AH8" s="67">
        <f>assets!AH45-assets!AH35</f>
        <v>0</v>
      </c>
      <c r="AI8" s="67">
        <f>assets!AI45-assets!AI35</f>
        <v>1193029</v>
      </c>
      <c r="AJ8" s="67">
        <f>assets!AJ45-assets!AJ35</f>
        <v>614159</v>
      </c>
      <c r="AK8" s="67">
        <f>assets!AK45-assets!AK35</f>
        <v>0</v>
      </c>
    </row>
    <row r="9" spans="1:37" ht="15.6" x14ac:dyDescent="0.3">
      <c r="A9" t="s">
        <v>516</v>
      </c>
      <c r="B9" s="54" t="s">
        <v>515</v>
      </c>
      <c r="C9" s="55" t="s">
        <v>517</v>
      </c>
      <c r="D9" s="55" t="s">
        <v>416</v>
      </c>
      <c r="E9">
        <f>assets!E3+assets!E4</f>
        <v>202275</v>
      </c>
      <c r="F9">
        <f>assets!F3+assets!F4</f>
        <v>396328</v>
      </c>
      <c r="G9">
        <f>assets!G3+assets!G4</f>
        <v>600452</v>
      </c>
      <c r="H9">
        <f>assets!H3+assets!H4</f>
        <v>548823</v>
      </c>
      <c r="I9">
        <f>assets!I3+assets!I4</f>
        <v>431543</v>
      </c>
      <c r="J9">
        <f>assets!J3+assets!J4</f>
        <v>332963</v>
      </c>
      <c r="K9">
        <f>assets!K3+assets!K4</f>
        <v>591927</v>
      </c>
      <c r="L9">
        <f>assets!L3+assets!L4</f>
        <v>1000659</v>
      </c>
      <c r="M9">
        <f>assets!M3+assets!M4</f>
        <v>1385602</v>
      </c>
      <c r="N9">
        <f>assets!N3+assets!N4</f>
        <v>1180750</v>
      </c>
      <c r="O9">
        <f>assets!O3+assets!O4</f>
        <v>867867</v>
      </c>
      <c r="P9">
        <f>assets!P3+assets!P4</f>
        <v>779524</v>
      </c>
      <c r="Q9">
        <f>assets!Q3+assets!Q4</f>
        <v>0</v>
      </c>
      <c r="R9">
        <f>assets!R3+assets!R4</f>
        <v>0</v>
      </c>
      <c r="S9">
        <f>assets!S3+assets!S4</f>
        <v>1556305</v>
      </c>
      <c r="T9">
        <f>assets!T3+assets!T4</f>
        <v>1568485</v>
      </c>
      <c r="U9">
        <f>assets!U3+assets!U4</f>
        <v>1170261</v>
      </c>
      <c r="V9">
        <f>assets!V3+assets!V4</f>
        <v>0</v>
      </c>
      <c r="W9">
        <f>assets!W3+assets!W4</f>
        <v>0</v>
      </c>
      <c r="X9">
        <f>assets!X3+assets!X4</f>
        <v>0</v>
      </c>
      <c r="Y9">
        <f>assets!Y3+assets!Y4</f>
        <v>0</v>
      </c>
      <c r="Z9">
        <f>assets!Z3+assets!Z4</f>
        <v>0</v>
      </c>
      <c r="AA9">
        <f>assets!AA3+assets!AA4</f>
        <v>0</v>
      </c>
      <c r="AB9">
        <f>assets!AB3+assets!AB4</f>
        <v>0</v>
      </c>
      <c r="AC9">
        <f>assets!AC3+assets!AC4</f>
        <v>0</v>
      </c>
      <c r="AD9">
        <f>assets!AD3+assets!AD4</f>
        <v>0</v>
      </c>
      <c r="AE9">
        <f>assets!AE3+assets!AE4</f>
        <v>0</v>
      </c>
      <c r="AF9">
        <f>assets!AF3+assets!AF4</f>
        <v>0</v>
      </c>
      <c r="AG9">
        <f>assets!AG3+assets!AG4</f>
        <v>0</v>
      </c>
      <c r="AH9">
        <f>assets!AH3+assets!AH4</f>
        <v>0</v>
      </c>
      <c r="AI9">
        <f>assets!AI3+assets!AI4</f>
        <v>1168842</v>
      </c>
      <c r="AJ9">
        <f>assets!AJ3+assets!AJ4</f>
        <v>1978884</v>
      </c>
      <c r="AK9">
        <f>assets!AK3+assets!AK4</f>
        <v>0</v>
      </c>
    </row>
    <row r="10" spans="1:37" ht="15.6" x14ac:dyDescent="0.3">
      <c r="A10" t="s">
        <v>519</v>
      </c>
      <c r="B10" s="54" t="s">
        <v>518</v>
      </c>
      <c r="C10" s="55" t="s">
        <v>520</v>
      </c>
      <c r="D10" s="55" t="s">
        <v>416</v>
      </c>
      <c r="E10" s="67">
        <f>-assets!E23</f>
        <v>3703924</v>
      </c>
      <c r="F10" s="67">
        <f>-assets!F23</f>
        <v>3897578</v>
      </c>
      <c r="G10" s="67">
        <f>-assets!G23</f>
        <v>4080639</v>
      </c>
      <c r="H10" s="67">
        <f>-assets!H23</f>
        <v>4266718</v>
      </c>
      <c r="I10" s="67">
        <f>-assets!I23</f>
        <v>4459311</v>
      </c>
      <c r="J10" s="67">
        <f>-assets!J23</f>
        <v>4664582</v>
      </c>
      <c r="K10" s="67">
        <f>-assets!K23</f>
        <v>4880807</v>
      </c>
      <c r="L10" s="67">
        <f>-assets!L23</f>
        <v>5110672</v>
      </c>
      <c r="M10" s="67">
        <f>-assets!M23</f>
        <v>5311855</v>
      </c>
      <c r="N10" s="67">
        <f>-assets!N23</f>
        <v>5529914</v>
      </c>
      <c r="O10" s="67">
        <f>-assets!O23</f>
        <v>5803581</v>
      </c>
      <c r="P10" s="67">
        <f>-assets!P23</f>
        <v>6086290</v>
      </c>
      <c r="Q10" s="67">
        <f>-assets!Q23</f>
        <v>0</v>
      </c>
      <c r="R10" s="67">
        <f>-assets!R23</f>
        <v>0</v>
      </c>
      <c r="S10" s="67">
        <f>-assets!S23</f>
        <v>6980997</v>
      </c>
      <c r="T10" s="67">
        <f>-assets!T23</f>
        <v>7341845</v>
      </c>
      <c r="U10" s="67">
        <f>-assets!U23</f>
        <v>7745969</v>
      </c>
      <c r="V10" s="67">
        <f>-assets!V23</f>
        <v>0</v>
      </c>
      <c r="W10" s="67">
        <f>-assets!W23</f>
        <v>0</v>
      </c>
      <c r="X10" s="67">
        <f>-assets!X23</f>
        <v>0</v>
      </c>
      <c r="Y10" s="67">
        <f>-assets!Y23</f>
        <v>0</v>
      </c>
      <c r="Z10" s="67">
        <f>-assets!Z23</f>
        <v>0</v>
      </c>
      <c r="AA10" s="67">
        <f>-assets!AA23</f>
        <v>0</v>
      </c>
      <c r="AB10" s="67">
        <f>-assets!AB23</f>
        <v>0</v>
      </c>
      <c r="AC10" s="67">
        <f>-assets!AC23</f>
        <v>0</v>
      </c>
      <c r="AD10" s="67">
        <f>-assets!AD23</f>
        <v>0</v>
      </c>
      <c r="AE10" s="67">
        <f>-assets!AE23</f>
        <v>0</v>
      </c>
      <c r="AF10" s="67">
        <f>-assets!AF23</f>
        <v>0</v>
      </c>
      <c r="AG10" s="67">
        <f>-assets!AG23</f>
        <v>0</v>
      </c>
      <c r="AH10" s="67">
        <f>-assets!AH23</f>
        <v>0</v>
      </c>
      <c r="AI10" s="67">
        <f>-assets!AI23</f>
        <v>48507064</v>
      </c>
      <c r="AJ10" s="67">
        <f>-assets!AJ23</f>
        <v>49316243</v>
      </c>
      <c r="AK10" s="67">
        <f>-assets!AK23</f>
        <v>0</v>
      </c>
    </row>
    <row r="11" spans="1:37" ht="15.6" x14ac:dyDescent="0.3">
      <c r="A11" t="s">
        <v>522</v>
      </c>
      <c r="B11" s="54" t="s">
        <v>521</v>
      </c>
      <c r="C11" s="55" t="s">
        <v>523</v>
      </c>
      <c r="D11" s="55" t="s">
        <v>416</v>
      </c>
      <c r="E11" s="68">
        <f>assets!E21</f>
        <v>9415070</v>
      </c>
      <c r="F11" s="68">
        <f>assets!F21</f>
        <v>9640524</v>
      </c>
      <c r="G11" s="68">
        <f>assets!G21</f>
        <v>9897142</v>
      </c>
      <c r="H11" s="68">
        <f>assets!H21</f>
        <v>9928340</v>
      </c>
      <c r="I11" s="68">
        <f>assets!I21</f>
        <v>10080698</v>
      </c>
      <c r="J11" s="68">
        <f>assets!J21</f>
        <v>10944937</v>
      </c>
      <c r="K11" s="68">
        <f>assets!K21</f>
        <v>11011573</v>
      </c>
      <c r="L11" s="68">
        <f>assets!L21</f>
        <v>12213101</v>
      </c>
      <c r="M11" s="68">
        <f>assets!M21</f>
        <v>12329447</v>
      </c>
      <c r="N11" s="68">
        <f>assets!N21</f>
        <v>14204332</v>
      </c>
      <c r="O11" s="68">
        <f>assets!O21</f>
        <v>16643067</v>
      </c>
      <c r="P11" s="68">
        <f>assets!P21</f>
        <v>16738117</v>
      </c>
      <c r="Q11" s="68">
        <f>assets!Q21</f>
        <v>0</v>
      </c>
      <c r="R11" s="68">
        <f>assets!R21</f>
        <v>0</v>
      </c>
      <c r="S11" s="68">
        <f>assets!S21</f>
        <v>20801038</v>
      </c>
      <c r="T11" s="68">
        <f>assets!T21</f>
        <v>23394738</v>
      </c>
      <c r="U11" s="68">
        <f>assets!U21</f>
        <v>24222549</v>
      </c>
      <c r="V11" s="68">
        <f>assets!V21</f>
        <v>0</v>
      </c>
      <c r="W11" s="68">
        <f>assets!W21</f>
        <v>0</v>
      </c>
      <c r="X11" s="68">
        <f>assets!X21</f>
        <v>0</v>
      </c>
      <c r="Y11" s="68">
        <f>assets!Y21</f>
        <v>0</v>
      </c>
      <c r="Z11" s="68">
        <f>assets!Z21</f>
        <v>0</v>
      </c>
      <c r="AA11" s="68">
        <f>assets!AA21</f>
        <v>0</v>
      </c>
      <c r="AB11" s="68">
        <f>assets!AB21</f>
        <v>0</v>
      </c>
      <c r="AC11" s="68">
        <f>assets!AC21</f>
        <v>0</v>
      </c>
      <c r="AD11" s="68">
        <f>assets!AD21</f>
        <v>0</v>
      </c>
      <c r="AE11" s="68">
        <f>assets!AE21</f>
        <v>0</v>
      </c>
      <c r="AF11" s="68">
        <f>assets!AF21</f>
        <v>0</v>
      </c>
      <c r="AG11" s="68">
        <f>assets!AG21</f>
        <v>0</v>
      </c>
      <c r="AH11" s="68">
        <f>assets!AH21</f>
        <v>0</v>
      </c>
      <c r="AI11" s="68">
        <f>assets!AI21</f>
        <v>59274860</v>
      </c>
      <c r="AJ11" s="68">
        <f>assets!AJ21</f>
        <v>60131778</v>
      </c>
      <c r="AK11" s="68">
        <f>assets!AK21</f>
        <v>0</v>
      </c>
    </row>
    <row r="12" spans="1:37" ht="15.6" x14ac:dyDescent="0.3">
      <c r="A12" t="s">
        <v>524</v>
      </c>
      <c r="B12" s="54" t="s">
        <v>164</v>
      </c>
      <c r="E12">
        <f>assets!E32</f>
        <v>9726068</v>
      </c>
      <c r="F12">
        <f>assets!F32</f>
        <v>12921082</v>
      </c>
      <c r="G12">
        <f>assets!G32</f>
        <v>8500716</v>
      </c>
      <c r="H12">
        <f>assets!H32</f>
        <v>9118647</v>
      </c>
      <c r="I12">
        <f>assets!I32</f>
        <v>9120032</v>
      </c>
      <c r="J12">
        <f>assets!J32</f>
        <v>8462222</v>
      </c>
      <c r="K12">
        <f>assets!K32</f>
        <v>12161554</v>
      </c>
      <c r="L12">
        <f>assets!L32</f>
        <v>12376074</v>
      </c>
      <c r="M12">
        <f>assets!M32</f>
        <v>13120688</v>
      </c>
      <c r="N12">
        <f>assets!N32</f>
        <v>14381248</v>
      </c>
      <c r="O12">
        <f>assets!O32</f>
        <v>13963726</v>
      </c>
      <c r="P12">
        <f>assets!P32</f>
        <v>13745538</v>
      </c>
      <c r="Q12">
        <f>assets!Q32</f>
        <v>0</v>
      </c>
      <c r="R12">
        <f>assets!R32</f>
        <v>0</v>
      </c>
      <c r="S12">
        <f>assets!S32</f>
        <v>17745993</v>
      </c>
      <c r="T12">
        <f>assets!T32</f>
        <v>20176135</v>
      </c>
      <c r="U12">
        <f>assets!U32</f>
        <v>20168410</v>
      </c>
      <c r="V12">
        <f>assets!V32</f>
        <v>0</v>
      </c>
      <c r="W12">
        <f>assets!W32</f>
        <v>0</v>
      </c>
      <c r="X12">
        <f>assets!X32</f>
        <v>0</v>
      </c>
      <c r="Y12">
        <f>assets!Y32</f>
        <v>0</v>
      </c>
      <c r="Z12">
        <f>assets!Z32</f>
        <v>0</v>
      </c>
      <c r="AA12">
        <f>assets!AA32</f>
        <v>0</v>
      </c>
      <c r="AB12">
        <f>assets!AB32</f>
        <v>0</v>
      </c>
      <c r="AC12">
        <f>assets!AC32</f>
        <v>0</v>
      </c>
      <c r="AD12">
        <f>assets!AD32</f>
        <v>0</v>
      </c>
      <c r="AE12">
        <f>assets!AE32</f>
        <v>0</v>
      </c>
      <c r="AF12">
        <f>assets!AF32</f>
        <v>0</v>
      </c>
      <c r="AG12">
        <f>assets!AG32</f>
        <v>0</v>
      </c>
      <c r="AH12">
        <f>assets!AH32</f>
        <v>0</v>
      </c>
      <c r="AI12">
        <f>assets!AI32</f>
        <v>15033483</v>
      </c>
      <c r="AJ12">
        <f>assets!AJ32</f>
        <v>16029150</v>
      </c>
      <c r="AK12">
        <f>assets!AK32</f>
        <v>0</v>
      </c>
    </row>
    <row r="13" spans="1:37" ht="15.6" x14ac:dyDescent="0.3">
      <c r="A13" t="s">
        <v>525</v>
      </c>
      <c r="B13" s="54" t="s">
        <v>167</v>
      </c>
      <c r="E13">
        <f>assets!E56</f>
        <v>4749432</v>
      </c>
      <c r="F13">
        <f>assets!F56</f>
        <v>7938828</v>
      </c>
      <c r="G13">
        <f>assets!G56</f>
        <v>3756498</v>
      </c>
      <c r="H13">
        <f>assets!H56</f>
        <v>4443223</v>
      </c>
      <c r="I13">
        <f>assets!I56</f>
        <v>4390455</v>
      </c>
      <c r="J13">
        <f>assets!J56</f>
        <v>3707536</v>
      </c>
      <c r="K13">
        <f>assets!K56</f>
        <v>7372900</v>
      </c>
      <c r="L13">
        <f>assets!L56</f>
        <v>7505688</v>
      </c>
      <c r="M13">
        <f>assets!M56</f>
        <v>7662194</v>
      </c>
      <c r="N13">
        <f>assets!N56</f>
        <v>8920897</v>
      </c>
      <c r="O13">
        <f>assets!O56</f>
        <v>8968149</v>
      </c>
      <c r="P13">
        <f>assets!P56</f>
        <v>8784211</v>
      </c>
      <c r="Q13">
        <f>assets!Q56</f>
        <v>0</v>
      </c>
      <c r="R13">
        <f>assets!R56</f>
        <v>0</v>
      </c>
      <c r="S13">
        <f>assets!S56</f>
        <v>10152427</v>
      </c>
      <c r="T13">
        <f>assets!T56</f>
        <v>12285881</v>
      </c>
      <c r="U13">
        <f>assets!U56</f>
        <v>11986441</v>
      </c>
      <c r="V13">
        <f>assets!V56</f>
        <v>0</v>
      </c>
      <c r="W13">
        <f>assets!W56</f>
        <v>0</v>
      </c>
      <c r="X13">
        <f>assets!X56</f>
        <v>0</v>
      </c>
      <c r="Y13">
        <f>assets!Y56</f>
        <v>0</v>
      </c>
      <c r="Z13">
        <f>assets!Z56</f>
        <v>0</v>
      </c>
      <c r="AA13">
        <f>assets!AA56</f>
        <v>0</v>
      </c>
      <c r="AB13">
        <f>assets!AB56</f>
        <v>0</v>
      </c>
      <c r="AC13">
        <f>assets!AC56</f>
        <v>0</v>
      </c>
      <c r="AD13">
        <f>assets!AD56</f>
        <v>0</v>
      </c>
      <c r="AE13">
        <f>assets!AE56</f>
        <v>0</v>
      </c>
      <c r="AF13">
        <f>assets!AF56</f>
        <v>0</v>
      </c>
      <c r="AG13">
        <f>assets!AG56</f>
        <v>0</v>
      </c>
      <c r="AH13">
        <f>assets!AH56</f>
        <v>0</v>
      </c>
      <c r="AI13">
        <f>assets!AI56</f>
        <v>6248249</v>
      </c>
      <c r="AJ13">
        <f>assets!AJ56</f>
        <v>6179508</v>
      </c>
      <c r="AK13">
        <f>assets!AK56</f>
        <v>0</v>
      </c>
    </row>
    <row r="14" spans="1:37" ht="15.6" x14ac:dyDescent="0.3">
      <c r="A14" t="s">
        <v>527</v>
      </c>
      <c r="B14" s="54" t="s">
        <v>526</v>
      </c>
      <c r="C14" s="55" t="s">
        <v>528</v>
      </c>
      <c r="D14" s="55" t="s">
        <v>416</v>
      </c>
      <c r="E14" s="68" t="e">
        <f>E11-D11+E4</f>
        <v>#VALUE!</v>
      </c>
      <c r="F14" s="68">
        <f t="shared" ref="F14:AK14" si="0">F11-E11+F4</f>
        <v>419108</v>
      </c>
      <c r="G14" s="68">
        <f t="shared" si="0"/>
        <v>439678</v>
      </c>
      <c r="H14" s="68">
        <f t="shared" si="0"/>
        <v>217278</v>
      </c>
      <c r="I14" s="68">
        <f t="shared" si="0"/>
        <v>344951</v>
      </c>
      <c r="J14" s="68">
        <f t="shared" si="0"/>
        <v>1069510</v>
      </c>
      <c r="K14" s="68">
        <f t="shared" si="0"/>
        <v>282861</v>
      </c>
      <c r="L14" s="68">
        <f t="shared" si="0"/>
        <v>1431394</v>
      </c>
      <c r="M14" s="68">
        <f t="shared" si="0"/>
        <v>318682</v>
      </c>
      <c r="N14" s="68">
        <f t="shared" si="0"/>
        <v>2092944</v>
      </c>
      <c r="O14" s="68">
        <f t="shared" si="0"/>
        <v>2712401</v>
      </c>
      <c r="P14" s="68">
        <f t="shared" si="0"/>
        <v>377759</v>
      </c>
      <c r="Q14" s="68">
        <f t="shared" si="0"/>
        <v>-16057098</v>
      </c>
      <c r="R14" s="68">
        <f t="shared" si="0"/>
        <v>0</v>
      </c>
      <c r="S14" s="68">
        <f t="shared" si="0"/>
        <v>21104651</v>
      </c>
      <c r="T14" s="68">
        <f t="shared" si="0"/>
        <v>2954548</v>
      </c>
      <c r="U14" s="68">
        <f t="shared" si="0"/>
        <v>1231935</v>
      </c>
      <c r="V14" s="68">
        <f t="shared" si="0"/>
        <v>-23554932</v>
      </c>
      <c r="W14" s="68">
        <f t="shared" si="0"/>
        <v>0</v>
      </c>
      <c r="X14" s="68">
        <f t="shared" si="0"/>
        <v>0</v>
      </c>
      <c r="Y14" s="68">
        <f t="shared" si="0"/>
        <v>0</v>
      </c>
      <c r="Z14" s="68">
        <f t="shared" si="0"/>
        <v>0</v>
      </c>
      <c r="AA14" s="68">
        <f t="shared" si="0"/>
        <v>0</v>
      </c>
      <c r="AB14" s="68">
        <f t="shared" si="0"/>
        <v>0</v>
      </c>
      <c r="AC14" s="68">
        <f t="shared" si="0"/>
        <v>0</v>
      </c>
      <c r="AD14" s="68">
        <f t="shared" si="0"/>
        <v>0</v>
      </c>
      <c r="AE14" s="68">
        <f t="shared" si="0"/>
        <v>0</v>
      </c>
      <c r="AF14" s="68">
        <f t="shared" si="0"/>
        <v>0</v>
      </c>
      <c r="AG14" s="68">
        <f t="shared" si="0"/>
        <v>652053</v>
      </c>
      <c r="AH14" s="68">
        <f t="shared" si="0"/>
        <v>653969</v>
      </c>
      <c r="AI14" s="68">
        <f t="shared" si="0"/>
        <v>60068748</v>
      </c>
      <c r="AJ14" s="68">
        <f t="shared" si="0"/>
        <v>1666097</v>
      </c>
      <c r="AK14" s="68">
        <f t="shared" si="0"/>
        <v>-60131778</v>
      </c>
    </row>
    <row r="16" spans="1:37" ht="15.6" x14ac:dyDescent="0.3">
      <c r="B16" s="57" t="s">
        <v>529</v>
      </c>
      <c r="C16" s="53" t="s">
        <v>530</v>
      </c>
      <c r="D16" s="58"/>
    </row>
    <row r="17" spans="1:37" ht="28.8" x14ac:dyDescent="0.3">
      <c r="B17" t="s">
        <v>531</v>
      </c>
      <c r="C17" s="59" t="s">
        <v>532</v>
      </c>
      <c r="D17" s="59"/>
      <c r="E17" s="60">
        <f>IFERROR(E2/E3, "")</f>
        <v>1.0485626747614283</v>
      </c>
      <c r="F17" s="60">
        <f>IFERROR(F2/F3, "")</f>
        <v>1.1294401745049432</v>
      </c>
      <c r="G17" s="60">
        <f>IFERROR(G2/G3, "")</f>
        <v>1.2142137916498112</v>
      </c>
      <c r="H17" s="60">
        <f>IFERROR(H2/H3, "")</f>
        <v>1.0686050707519148</v>
      </c>
      <c r="I17" s="60">
        <f>IFERROR(I2/I3, "")</f>
        <v>1.1071079840955262</v>
      </c>
      <c r="J17" s="60">
        <f>IFERROR(J2/J3, "")</f>
        <v>1.1094580233793836</v>
      </c>
      <c r="K17" s="60">
        <f>IFERROR(K2/K3, "")</f>
        <v>1.197598462178785</v>
      </c>
      <c r="L17" s="60">
        <f>IFERROR(L2/L3, "")</f>
        <v>1.1910470278891332</v>
      </c>
      <c r="M17" s="60">
        <f>IFERROR(M2/M3, "")</f>
        <v>1.2200839195871465</v>
      </c>
      <c r="N17" s="60">
        <f>IFERROR(N2/N3, "")</f>
        <v>1.1456960972071522</v>
      </c>
      <c r="O17" s="60">
        <f>IFERROR(O2/O3, "")</f>
        <v>1.0161063518485334</v>
      </c>
      <c r="P17" s="60">
        <f>IFERROR(P2/P3, "")</f>
        <v>1.1539978964745488</v>
      </c>
      <c r="Q17" s="60">
        <f>IFERROR(Q2/Q3, "")</f>
        <v>1.0082325958444387</v>
      </c>
      <c r="R17" s="60" t="str">
        <f>IFERROR(R2/R3, "")</f>
        <v/>
      </c>
      <c r="S17" s="60">
        <f>IFERROR(S2/S3, "")</f>
        <v>1.2814574762505386</v>
      </c>
      <c r="T17" s="60">
        <f>IFERROR(T2/T3, "")</f>
        <v>1.2621210993676948</v>
      </c>
      <c r="U17" s="60">
        <f>IFERROR(U2/U3, "")</f>
        <v>1.2854249199847803</v>
      </c>
      <c r="V17" s="60">
        <f>IFERROR(V2/V3, "")</f>
        <v>1.236105154153512</v>
      </c>
      <c r="W17" s="60" t="str">
        <f>IFERROR(W2/W3, "")</f>
        <v/>
      </c>
      <c r="X17" s="60" t="str">
        <f>IFERROR(X2/X3, "")</f>
        <v/>
      </c>
      <c r="Y17" s="60" t="str">
        <f>IFERROR(Y2/Y3, "")</f>
        <v/>
      </c>
      <c r="Z17" s="60" t="str">
        <f>IFERROR(Z2/Z3, "")</f>
        <v/>
      </c>
      <c r="AA17" s="60" t="str">
        <f>IFERROR(AA2/AA3, "")</f>
        <v/>
      </c>
      <c r="AB17" s="60" t="str">
        <f>IFERROR(AB2/AB3, "")</f>
        <v/>
      </c>
      <c r="AC17" s="60" t="str">
        <f>IFERROR(AC2/AC3, "")</f>
        <v/>
      </c>
      <c r="AD17" s="60" t="str">
        <f>IFERROR(AD2/AD3, "")</f>
        <v/>
      </c>
      <c r="AE17" s="60" t="str">
        <f>IFERROR(AE2/AE3, "")</f>
        <v/>
      </c>
      <c r="AF17" s="60" t="str">
        <f>IFERROR(AF2/AF3, "")</f>
        <v/>
      </c>
      <c r="AG17" s="60">
        <f>IFERROR(AG2/AG3, "")</f>
        <v>1.161217356734894</v>
      </c>
      <c r="AH17" s="60">
        <f>IFERROR(AH2/AH3, "")</f>
        <v>1.1526117619880452</v>
      </c>
      <c r="AI17" s="60">
        <f>IFERROR(AI2/AI3, "")</f>
        <v>1.488694815070795</v>
      </c>
      <c r="AJ17" s="60">
        <f>IFERROR(AJ2/AJ3, "")</f>
        <v>1.313470846952246</v>
      </c>
      <c r="AK17" s="60" t="str">
        <f>IFERROR(AK2/AK3, "")</f>
        <v/>
      </c>
    </row>
    <row r="18" spans="1:37" ht="28.8" x14ac:dyDescent="0.3">
      <c r="B18" t="s">
        <v>533</v>
      </c>
      <c r="C18" s="59" t="s">
        <v>534</v>
      </c>
      <c r="D18" s="59"/>
      <c r="E18" s="60">
        <f>IFERROR(IF(E4="","",E2/(E3-E4)), "")</f>
        <v>1.1701599235777407</v>
      </c>
      <c r="F18" s="60">
        <f>IFERROR(IF(F4="","",F2/(F3-F4)), "")</f>
        <v>1.2598097272630278</v>
      </c>
      <c r="G18" s="60">
        <f>IFERROR(IF(G4="","",G2/(G3-G4)), "")</f>
        <v>1.360431375928439</v>
      </c>
      <c r="H18" s="60">
        <f>IFERROR(IF(H4="","",H2/(H3-H4)), "")</f>
        <v>1.1910809194402647</v>
      </c>
      <c r="I18" s="60">
        <f>IFERROR(IF(I4="","",I2/(I3-I4)), "")</f>
        <v>1.2295819928303553</v>
      </c>
      <c r="J18" s="60">
        <f>IFERROR(IF(J4="","",J2/(J3-J4)), "")</f>
        <v>1.2417911904778507</v>
      </c>
      <c r="K18" s="60">
        <f>IFERROR(IF(K4="","",K2/(K3-K4)), "")</f>
        <v>1.3295168220271203</v>
      </c>
      <c r="L18" s="60">
        <f>IFERROR(IF(L4="","",L2/(L3-L4)), "")</f>
        <v>1.3220406940748333</v>
      </c>
      <c r="M18" s="60">
        <f>IFERROR(IF(M4="","",M2/(M3-M4)), "")</f>
        <v>1.3343150787301197</v>
      </c>
      <c r="N18" s="60">
        <f>IFERROR(IF(N4="","",N2/(N3-N4)), "")</f>
        <v>1.2537633078351205</v>
      </c>
      <c r="O18" s="60">
        <f>IFERROR(IF(O4="","",O2/(O3-O4)), "")</f>
        <v>1.1288524719111601</v>
      </c>
      <c r="P18" s="60">
        <f>IFERROR(IF(P4="","",P2/(P3-P4)), "")</f>
        <v>1.2882619717846149</v>
      </c>
      <c r="Q18" s="60">
        <f>IFERROR(IF(Q4="","",Q2/(Q3-Q4)), "")</f>
        <v>1.2695638108178571</v>
      </c>
      <c r="R18" s="60" t="str">
        <f>IFERROR(IF(R4="","",R2/(R3-R4)), "")</f>
        <v/>
      </c>
      <c r="S18" s="60">
        <f>IFERROR(IF(S4="","",S2/(S3-S4)), "")</f>
        <v>1.4229183838717312</v>
      </c>
      <c r="T18" s="60">
        <f>IFERROR(IF(T4="","",T2/(T3-T4)), "")</f>
        <v>1.416776293672241</v>
      </c>
      <c r="U18" s="60">
        <f>IFERROR(IF(U4="","",U2/(U3-U4)), "")</f>
        <v>1.4826388888888888</v>
      </c>
      <c r="V18" s="60">
        <f>IFERROR(IF(V4="","",V2/(V3-V4)), "")</f>
        <v>1.5884122366698799</v>
      </c>
      <c r="W18" s="60" t="str">
        <f>IFERROR(IF(W4="","",W2/(W3-W4)), "")</f>
        <v/>
      </c>
      <c r="X18" s="60" t="str">
        <f>IFERROR(IF(X4="","",X2/(X3-X4)), "")</f>
        <v/>
      </c>
      <c r="Y18" s="60" t="str">
        <f>IFERROR(IF(Y4="","",Y2/(Y3-Y4)), "")</f>
        <v/>
      </c>
      <c r="Z18" s="60" t="str">
        <f>IFERROR(IF(Z4="","",Z2/(Z3-Z4)), "")</f>
        <v/>
      </c>
      <c r="AA18" s="60" t="str">
        <f>IFERROR(IF(AA4="","",AA2/(AA3-AA4)), "")</f>
        <v/>
      </c>
      <c r="AB18" s="60" t="str">
        <f>IFERROR(IF(AB4="","",AB2/(AB3-AB4)), "")</f>
        <v/>
      </c>
      <c r="AC18" s="60" t="str">
        <f>IFERROR(IF(AC4="","",AC2/(AC3-AC4)), "")</f>
        <v/>
      </c>
      <c r="AD18" s="60" t="str">
        <f>IFERROR(IF(AD4="","",AD2/(AD3-AD4)), "")</f>
        <v/>
      </c>
      <c r="AE18" s="60" t="str">
        <f>IFERROR(IF(AE4="","",AE2/(AE3-AE4)), "")</f>
        <v/>
      </c>
      <c r="AF18" s="60" t="str">
        <f>IFERROR(IF(AF4="","",AF2/(AF3-AF4)), "")</f>
        <v/>
      </c>
      <c r="AG18" s="60">
        <f>IFERROR(IF(AG4="","",AG2/(AG3-AG4)), "")</f>
        <v>1.3898164414968597</v>
      </c>
      <c r="AH18" s="60">
        <f>IFERROR(IF(AH4="","",AH2/(AH3-AH4)), "")</f>
        <v>1.3711193052028618</v>
      </c>
      <c r="AI18" s="60">
        <f>IFERROR(IF(AI4="","",AI2/(AI3-AI4)), "")</f>
        <v>1.8343276598233609</v>
      </c>
      <c r="AJ18" s="60">
        <f>IFERROR(IF(AJ4="","",AJ2/(AJ3-AJ4)), "")</f>
        <v>1.5962436655455965</v>
      </c>
      <c r="AK18" s="60" t="str">
        <f>IFERROR(IF(AK4="","",AK2/(AK3-AK4)), "")</f>
        <v/>
      </c>
    </row>
    <row r="19" spans="1:37" ht="28.8" x14ac:dyDescent="0.3">
      <c r="B19" t="s">
        <v>535</v>
      </c>
      <c r="C19" s="61" t="s">
        <v>553</v>
      </c>
      <c r="D19" s="61"/>
      <c r="E19" s="60" t="str">
        <f>IF(E4="","",IF(E5="","",IF(E6="","",(E2-E3+E4)/(E5+E6))))</f>
        <v/>
      </c>
      <c r="F19" s="60" t="str">
        <f>IF(F4="","",IF(F5="","",IF(F6="","",(F2-F3+F4)/(F5+F6))))</f>
        <v/>
      </c>
      <c r="G19" s="60" t="str">
        <f>IF(G4="","",IF(G5="","",IF(G6="","",(G2-G3+G4)/(G5+G6))))</f>
        <v/>
      </c>
      <c r="H19" s="60" t="str">
        <f>IF(H4="","",IF(H5="","",IF(H6="","",(H2-H3+H4)/(H5+H6))))</f>
        <v/>
      </c>
      <c r="I19" s="60" t="str">
        <f>IF(I4="","",IF(I5="","",IF(I6="","",(I2-I3+I4)/(I5+I6))))</f>
        <v/>
      </c>
      <c r="J19" s="60" t="str">
        <f>IF(J4="","",IF(J5="","",IF(J6="","",(J2-J3+J4)/(J5+J6))))</f>
        <v/>
      </c>
      <c r="K19" s="60" t="str">
        <f>IF(K4="","",IF(K5="","",IF(K6="","",(K2-K3+K4)/(K5+K6))))</f>
        <v/>
      </c>
      <c r="L19" s="60" t="str">
        <f>IF(L4="","",IF(L5="","",IF(L6="","",(L2-L3+L4)/(L5+L6))))</f>
        <v/>
      </c>
      <c r="M19" s="60" t="str">
        <f>IF(M4="","",IF(M5="","",IF(M6="","",(M2-M3+M4)/(M5+M6))))</f>
        <v/>
      </c>
      <c r="N19" s="60" t="str">
        <f>IF(N4="","",IF(N5="","",IF(N6="","",(N2-N3+N4)/(N5+N6))))</f>
        <v/>
      </c>
      <c r="O19" s="60" t="str">
        <f>IF(O4="","",IF(O5="","",IF(O6="","",(O2-O3+O4)/(O5+O6))))</f>
        <v/>
      </c>
      <c r="P19" s="60" t="str">
        <f>IF(P4="","",IF(P5="","",IF(P6="","",(P2-P3+P4)/(P5+P6))))</f>
        <v/>
      </c>
      <c r="Q19" s="60" t="str">
        <f>IF(Q4="","",IF(Q5="","",IF(Q6="","",(Q2-Q3+Q4)/(Q5+Q6))))</f>
        <v/>
      </c>
      <c r="R19" s="60" t="str">
        <f>IF(R4="","",IF(R5="","",IF(R6="","",(R2-R3+R4)/(R5+R6))))</f>
        <v/>
      </c>
      <c r="S19" s="60" t="str">
        <f>IF(S4="","",IF(S5="","",IF(S6="","",(S2-S3+S4)/(S5+S6))))</f>
        <v/>
      </c>
      <c r="T19" s="60" t="str">
        <f>IF(T4="","",IF(T5="","",IF(T6="","",(T2-T3+T4)/(T5+T6))))</f>
        <v/>
      </c>
      <c r="U19" s="60" t="str">
        <f>IF(U4="","",IF(U5="","",IF(U6="","",(U2-U3+U4)/(U5+U6))))</f>
        <v/>
      </c>
      <c r="V19" s="60" t="str">
        <f>IF(V4="","",IF(V5="","",IF(V6="","",(V2-V3+V4)/(V5+V6))))</f>
        <v/>
      </c>
      <c r="W19" s="60" t="str">
        <f>IF(W4="","",IF(W5="","",IF(W6="","",(W2-W3+W4)/(W5+W6))))</f>
        <v/>
      </c>
      <c r="X19" s="60" t="str">
        <f>IF(X4="","",IF(X5="","",IF(X6="","",(X2-X3+X4)/(X5+X6))))</f>
        <v/>
      </c>
      <c r="Y19" s="60" t="str">
        <f>IF(Y4="","",IF(Y5="","",IF(Y6="","",(Y2-Y3+Y4)/(Y5+Y6))))</f>
        <v/>
      </c>
      <c r="Z19" s="60" t="str">
        <f>IF(Z4="","",IF(Z5="","",IF(Z6="","",(Z2-Z3+Z4)/(Z5+Z6))))</f>
        <v/>
      </c>
      <c r="AA19" s="60" t="str">
        <f>IF(AA4="","",IF(AA5="","",IF(AA6="","",(AA2-AA3+AA4)/(AA5+AA6))))</f>
        <v/>
      </c>
      <c r="AB19" s="60" t="str">
        <f>IF(AB4="","",IF(AB5="","",IF(AB6="","",(AB2-AB3+AB4)/(AB5+AB6))))</f>
        <v/>
      </c>
      <c r="AC19" s="60" t="str">
        <f>IF(AC4="","",IF(AC5="","",IF(AC6="","",(AC2-AC3+AC4)/(AC5+AC6))))</f>
        <v/>
      </c>
      <c r="AD19" s="60" t="str">
        <f>IF(AD4="","",IF(AD5="","",IF(AD6="","",(AD2-AD3+AD4)/(AD5+AD6))))</f>
        <v/>
      </c>
      <c r="AE19" s="60" t="str">
        <f>IF(AE4="","",IF(AE5="","",IF(AE6="","",(AE2-AE3+AE4)/(AE5+AE6))))</f>
        <v/>
      </c>
      <c r="AF19" s="60" t="str">
        <f>IF(AF4="","",IF(AF5="","",IF(AF6="","",(AF2-AF3+AF4)/(AF5+AF6))))</f>
        <v/>
      </c>
      <c r="AG19" s="60" t="str">
        <f>IF(AG4="","",IF(AG5="","",IF(AG6="","",(AG2-AG3+AG4)/(AG5+AG6))))</f>
        <v/>
      </c>
      <c r="AH19" s="60" t="str">
        <f>IF(AH4="","",IF(AH5="","",IF(AH6="","",(AH2-AH3+AH4)/(AH5+AH6))))</f>
        <v/>
      </c>
      <c r="AI19" s="60" t="str">
        <f>IF(AI4="","",IF(AI5="","",IF(AI6="","",(AI2-AI3+AI4)/(AI5+AI6))))</f>
        <v/>
      </c>
      <c r="AJ19" s="60" t="str">
        <f>IF(AJ4="","",IF(AJ5="","",IF(AJ6="","",(AJ2-AJ3+AJ4)/(AJ5+AJ6))))</f>
        <v/>
      </c>
      <c r="AK19" s="60" t="str">
        <f>IF(AK4="","",IF(AK5="","",IF(AK6="","",(AK2-AK3+AK4)/(AK5+AK6))))</f>
        <v/>
      </c>
    </row>
    <row r="20" spans="1:37" ht="28.8" x14ac:dyDescent="0.3">
      <c r="B20" t="s">
        <v>536</v>
      </c>
      <c r="C20" s="61" t="s">
        <v>537</v>
      </c>
      <c r="D20" s="61"/>
      <c r="E20" s="60">
        <f>IFERROR(IF(E7=0,"",E7/E8), "")</f>
        <v>1.5419426959347213</v>
      </c>
      <c r="F20" s="60">
        <f t="shared" ref="F20:AK20" si="1">IFERROR(IF(F7=0,"",F7/F8), "")</f>
        <v>1.4917029108088389</v>
      </c>
      <c r="G20" s="60">
        <f t="shared" si="1"/>
        <v>2.1387218699134678</v>
      </c>
      <c r="H20" s="60">
        <f t="shared" si="1"/>
        <v>2.1517122454790876</v>
      </c>
      <c r="I20" s="60">
        <f t="shared" si="1"/>
        <v>2.1356820564806669</v>
      </c>
      <c r="J20" s="60">
        <f t="shared" si="1"/>
        <v>6.3454166123353763</v>
      </c>
      <c r="K20" s="60">
        <f t="shared" si="1"/>
        <v>2.1294335170290219</v>
      </c>
      <c r="L20" s="60">
        <f t="shared" si="1"/>
        <v>3.7467518468481416</v>
      </c>
      <c r="M20" s="60">
        <f t="shared" si="1"/>
        <v>3.0466164365773865</v>
      </c>
      <c r="N20" s="60">
        <f t="shared" si="1"/>
        <v>2.1895370543817378</v>
      </c>
      <c r="O20" s="60">
        <f t="shared" si="1"/>
        <v>3.0489792018911817</v>
      </c>
      <c r="P20" s="60">
        <f t="shared" si="1"/>
        <v>2.5001735432414955</v>
      </c>
      <c r="Q20" s="60" t="str">
        <f t="shared" si="1"/>
        <v/>
      </c>
      <c r="R20" s="60" t="str">
        <f t="shared" si="1"/>
        <v/>
      </c>
      <c r="S20" s="60">
        <f t="shared" si="1"/>
        <v>5.1184840757087304</v>
      </c>
      <c r="T20" s="60">
        <f t="shared" si="1"/>
        <v>2.7288434308438525</v>
      </c>
      <c r="U20" s="60">
        <f t="shared" si="1"/>
        <v>2.8383854766208989</v>
      </c>
      <c r="V20" s="60" t="str">
        <f t="shared" si="1"/>
        <v/>
      </c>
      <c r="W20" s="60" t="str">
        <f t="shared" si="1"/>
        <v/>
      </c>
      <c r="X20" s="60" t="str">
        <f t="shared" si="1"/>
        <v/>
      </c>
      <c r="Y20" s="60" t="str">
        <f t="shared" si="1"/>
        <v/>
      </c>
      <c r="Z20" s="60" t="str">
        <f t="shared" si="1"/>
        <v/>
      </c>
      <c r="AA20" s="60" t="str">
        <f t="shared" si="1"/>
        <v/>
      </c>
      <c r="AB20" s="60" t="str">
        <f t="shared" si="1"/>
        <v/>
      </c>
      <c r="AC20" s="60" t="str">
        <f t="shared" si="1"/>
        <v/>
      </c>
      <c r="AD20" s="60" t="str">
        <f t="shared" si="1"/>
        <v/>
      </c>
      <c r="AE20" s="60" t="str">
        <f t="shared" si="1"/>
        <v/>
      </c>
      <c r="AF20" s="60" t="str">
        <f t="shared" si="1"/>
        <v/>
      </c>
      <c r="AG20" s="60" t="str">
        <f t="shared" si="1"/>
        <v/>
      </c>
      <c r="AH20" s="60" t="str">
        <f t="shared" si="1"/>
        <v/>
      </c>
      <c r="AI20" s="60">
        <f t="shared" si="1"/>
        <v>2.4686105702376051</v>
      </c>
      <c r="AJ20" s="60">
        <f t="shared" si="1"/>
        <v>5.595158582712294</v>
      </c>
      <c r="AK20" s="60" t="str">
        <f t="shared" si="1"/>
        <v/>
      </c>
    </row>
    <row r="21" spans="1:37" ht="28.8" x14ac:dyDescent="0.3">
      <c r="B21" t="s">
        <v>538</v>
      </c>
      <c r="C21" s="61" t="s">
        <v>539</v>
      </c>
      <c r="D21" s="61"/>
      <c r="E21" s="62">
        <f>IFERROR(IF(E9=0,"",IF(E4="","",IF(E9="","",E9/((E3-E4)/365)))),"")</f>
        <v>48.573382079717049</v>
      </c>
      <c r="F21" s="62">
        <f t="shared" ref="F21:AK21" si="2">IFERROR(IF(F9=0,"",IF(F4="","",IF(F9="","",F9/((F3-F4)/365)))),"")</f>
        <v>86.225176536645179</v>
      </c>
      <c r="G21" s="62">
        <f t="shared" si="2"/>
        <v>144.17240564967219</v>
      </c>
      <c r="H21" s="62">
        <f t="shared" si="2"/>
        <v>123.38395789974211</v>
      </c>
      <c r="I21" s="62">
        <f t="shared" si="2"/>
        <v>90.475375240314051</v>
      </c>
      <c r="J21" s="62">
        <f t="shared" si="2"/>
        <v>70.61859512968374</v>
      </c>
      <c r="K21" s="62">
        <f t="shared" si="2"/>
        <v>110.06497069224977</v>
      </c>
      <c r="L21" s="62">
        <f t="shared" si="2"/>
        <v>174.75339396392593</v>
      </c>
      <c r="M21" s="62">
        <f t="shared" si="2"/>
        <v>234.02005999675168</v>
      </c>
      <c r="N21" s="62">
        <f t="shared" si="2"/>
        <v>186.42378047197937</v>
      </c>
      <c r="O21" s="62">
        <f t="shared" si="2"/>
        <v>128.43625512949998</v>
      </c>
      <c r="P21" s="62">
        <f t="shared" si="2"/>
        <v>117.09477834296344</v>
      </c>
      <c r="Q21" s="62" t="str">
        <f t="shared" si="2"/>
        <v/>
      </c>
      <c r="R21" s="62" t="str">
        <f t="shared" si="2"/>
        <v/>
      </c>
      <c r="S21" s="62">
        <f t="shared" si="2"/>
        <v>206.53775645363083</v>
      </c>
      <c r="T21" s="62">
        <f t="shared" si="2"/>
        <v>194.4072314432664</v>
      </c>
      <c r="U21" s="62">
        <f t="shared" si="2"/>
        <v>162.16305283730594</v>
      </c>
      <c r="V21" s="62" t="str">
        <f t="shared" si="2"/>
        <v/>
      </c>
      <c r="W21" s="62" t="str">
        <f t="shared" si="2"/>
        <v/>
      </c>
      <c r="X21" s="62" t="str">
        <f t="shared" si="2"/>
        <v/>
      </c>
      <c r="Y21" s="62" t="str">
        <f t="shared" si="2"/>
        <v/>
      </c>
      <c r="Z21" s="62" t="str">
        <f t="shared" si="2"/>
        <v/>
      </c>
      <c r="AA21" s="62" t="str">
        <f t="shared" si="2"/>
        <v/>
      </c>
      <c r="AB21" s="62" t="str">
        <f t="shared" si="2"/>
        <v/>
      </c>
      <c r="AC21" s="62" t="str">
        <f t="shared" si="2"/>
        <v/>
      </c>
      <c r="AD21" s="62" t="str">
        <f t="shared" si="2"/>
        <v/>
      </c>
      <c r="AE21" s="62" t="str">
        <f t="shared" si="2"/>
        <v/>
      </c>
      <c r="AF21" s="62" t="str">
        <f t="shared" si="2"/>
        <v/>
      </c>
      <c r="AG21" s="62" t="str">
        <f t="shared" si="2"/>
        <v/>
      </c>
      <c r="AH21" s="62" t="str">
        <f t="shared" si="2"/>
        <v/>
      </c>
      <c r="AI21" s="62">
        <f t="shared" si="2"/>
        <v>124.76672223197052</v>
      </c>
      <c r="AJ21" s="62">
        <f t="shared" si="2"/>
        <v>192.17010219998824</v>
      </c>
      <c r="AK21" s="62" t="str">
        <f t="shared" si="2"/>
        <v/>
      </c>
    </row>
    <row r="22" spans="1:37" ht="28.8" x14ac:dyDescent="0.3">
      <c r="B22" t="s">
        <v>540</v>
      </c>
      <c r="C22" s="61" t="s">
        <v>541</v>
      </c>
      <c r="D22" s="61"/>
      <c r="E22" s="63">
        <f>IFERROR(IF(E10="","",E10/E11), "")</f>
        <v>0.39340376651474712</v>
      </c>
      <c r="F22" s="63">
        <f t="shared" ref="F22:AK22" si="3">IFERROR(IF(F10="","",F10/F11), "")</f>
        <v>0.40429109455046219</v>
      </c>
      <c r="G22" s="63">
        <f t="shared" si="3"/>
        <v>0.41230478455295477</v>
      </c>
      <c r="H22" s="63">
        <f t="shared" si="3"/>
        <v>0.42975139852180727</v>
      </c>
      <c r="I22" s="63">
        <f t="shared" si="3"/>
        <v>0.44236133251883947</v>
      </c>
      <c r="J22" s="63">
        <f t="shared" si="3"/>
        <v>0.42618628138288966</v>
      </c>
      <c r="K22" s="63">
        <f t="shared" si="3"/>
        <v>0.44324339492641063</v>
      </c>
      <c r="L22" s="63">
        <f t="shared" si="3"/>
        <v>0.41845817863947904</v>
      </c>
      <c r="M22" s="63">
        <f t="shared" si="3"/>
        <v>0.43082670293322967</v>
      </c>
      <c r="N22" s="63">
        <f t="shared" si="3"/>
        <v>0.38931179586621883</v>
      </c>
      <c r="O22" s="63">
        <f t="shared" si="3"/>
        <v>0.34870862443803174</v>
      </c>
      <c r="P22" s="63">
        <f t="shared" si="3"/>
        <v>0.36361855996107567</v>
      </c>
      <c r="Q22" s="63" t="str">
        <f t="shared" si="3"/>
        <v/>
      </c>
      <c r="R22" s="63" t="str">
        <f t="shared" si="3"/>
        <v/>
      </c>
      <c r="S22" s="63">
        <f t="shared" si="3"/>
        <v>0.3356081076338594</v>
      </c>
      <c r="T22" s="63">
        <f t="shared" si="3"/>
        <v>0.3138246301369137</v>
      </c>
      <c r="U22" s="63">
        <f t="shared" si="3"/>
        <v>0.31978339686710922</v>
      </c>
      <c r="V22" s="63" t="str">
        <f t="shared" si="3"/>
        <v/>
      </c>
      <c r="W22" s="63" t="str">
        <f t="shared" si="3"/>
        <v/>
      </c>
      <c r="X22" s="63" t="str">
        <f t="shared" si="3"/>
        <v/>
      </c>
      <c r="Y22" s="63" t="str">
        <f t="shared" si="3"/>
        <v/>
      </c>
      <c r="Z22" s="63" t="str">
        <f t="shared" si="3"/>
        <v/>
      </c>
      <c r="AA22" s="63" t="str">
        <f t="shared" si="3"/>
        <v/>
      </c>
      <c r="AB22" s="63" t="str">
        <f t="shared" si="3"/>
        <v/>
      </c>
      <c r="AC22" s="63" t="str">
        <f t="shared" si="3"/>
        <v/>
      </c>
      <c r="AD22" s="63" t="str">
        <f t="shared" si="3"/>
        <v/>
      </c>
      <c r="AE22" s="63" t="str">
        <f t="shared" si="3"/>
        <v/>
      </c>
      <c r="AF22" s="63" t="str">
        <f t="shared" si="3"/>
        <v/>
      </c>
      <c r="AG22" s="63" t="str">
        <f t="shared" si="3"/>
        <v/>
      </c>
      <c r="AH22" s="63" t="str">
        <f t="shared" si="3"/>
        <v/>
      </c>
      <c r="AI22" s="63">
        <f t="shared" si="3"/>
        <v>0.81834126643234584</v>
      </c>
      <c r="AJ22" s="63">
        <f t="shared" si="3"/>
        <v>0.82013611837654288</v>
      </c>
      <c r="AK22" s="63" t="str">
        <f t="shared" si="3"/>
        <v/>
      </c>
    </row>
    <row r="23" spans="1:37" ht="28.8" x14ac:dyDescent="0.3">
      <c r="B23" t="s">
        <v>542</v>
      </c>
      <c r="C23" s="59" t="s">
        <v>543</v>
      </c>
      <c r="D23" s="59"/>
      <c r="E23" s="60">
        <f>IFERROR(IF(E12=0,"",IF(E13=0,"",E13/(E12-E13))),"")</f>
        <v>0.95434586736904203</v>
      </c>
      <c r="F23" s="60">
        <f t="shared" ref="F23:AK23" si="4">IFERROR(IF(F12=0,"",IF(F13=0,"",F13/(F12-F13))),"")</f>
        <v>1.5934209697056794</v>
      </c>
      <c r="G23" s="60">
        <f t="shared" si="4"/>
        <v>0.79180551989811598</v>
      </c>
      <c r="H23" s="60">
        <f t="shared" si="4"/>
        <v>0.95033584119857362</v>
      </c>
      <c r="I23" s="60">
        <f t="shared" si="4"/>
        <v>0.92829760462722144</v>
      </c>
      <c r="J23" s="60">
        <f t="shared" si="4"/>
        <v>0.77976463640290861</v>
      </c>
      <c r="K23" s="60">
        <f t="shared" si="4"/>
        <v>1.5396602051432406</v>
      </c>
      <c r="L23" s="60">
        <f t="shared" si="4"/>
        <v>1.5410868871584307</v>
      </c>
      <c r="M23" s="60">
        <f t="shared" si="4"/>
        <v>1.4037194141827398</v>
      </c>
      <c r="N23" s="60">
        <f t="shared" si="4"/>
        <v>1.6337588920565729</v>
      </c>
      <c r="O23" s="60">
        <f t="shared" si="4"/>
        <v>1.7952178497098534</v>
      </c>
      <c r="P23" s="60">
        <f t="shared" si="4"/>
        <v>1.7705365923270124</v>
      </c>
      <c r="Q23" s="60" t="str">
        <f t="shared" si="4"/>
        <v/>
      </c>
      <c r="R23" s="60" t="str">
        <f t="shared" si="4"/>
        <v/>
      </c>
      <c r="S23" s="60">
        <f t="shared" si="4"/>
        <v>1.3369775149119663</v>
      </c>
      <c r="T23" s="60">
        <f t="shared" si="4"/>
        <v>1.5570957538249086</v>
      </c>
      <c r="U23" s="60">
        <f t="shared" si="4"/>
        <v>1.4649824510457079</v>
      </c>
      <c r="V23" s="60" t="str">
        <f t="shared" si="4"/>
        <v/>
      </c>
      <c r="W23" s="60" t="str">
        <f t="shared" si="4"/>
        <v/>
      </c>
      <c r="X23" s="60" t="str">
        <f t="shared" si="4"/>
        <v/>
      </c>
      <c r="Y23" s="60" t="str">
        <f t="shared" si="4"/>
        <v/>
      </c>
      <c r="Z23" s="60" t="str">
        <f t="shared" si="4"/>
        <v/>
      </c>
      <c r="AA23" s="60" t="str">
        <f t="shared" si="4"/>
        <v/>
      </c>
      <c r="AB23" s="60" t="str">
        <f t="shared" si="4"/>
        <v/>
      </c>
      <c r="AC23" s="60" t="str">
        <f t="shared" si="4"/>
        <v/>
      </c>
      <c r="AD23" s="60" t="str">
        <f t="shared" si="4"/>
        <v/>
      </c>
      <c r="AE23" s="60" t="str">
        <f t="shared" si="4"/>
        <v/>
      </c>
      <c r="AF23" s="60" t="str">
        <f t="shared" si="4"/>
        <v/>
      </c>
      <c r="AG23" s="60" t="str">
        <f t="shared" si="4"/>
        <v/>
      </c>
      <c r="AH23" s="60" t="str">
        <f t="shared" si="4"/>
        <v/>
      </c>
      <c r="AI23" s="60">
        <f t="shared" si="4"/>
        <v>0.71122169312735439</v>
      </c>
      <c r="AJ23" s="60">
        <f t="shared" si="4"/>
        <v>0.62738402065780663</v>
      </c>
      <c r="AK23" s="60" t="str">
        <f t="shared" si="4"/>
        <v/>
      </c>
    </row>
    <row r="24" spans="1:37" ht="28.8" x14ac:dyDescent="0.3">
      <c r="A24" t="s">
        <v>544</v>
      </c>
      <c r="B24" t="s">
        <v>545</v>
      </c>
      <c r="C24" s="61" t="s">
        <v>546</v>
      </c>
      <c r="D24" s="61"/>
      <c r="E24" s="64">
        <f>IFERROR(IF(E10="","",IF(E10=0,"",E10/E4)),"")</f>
        <v>21.013383258162428</v>
      </c>
      <c r="F24" s="64">
        <f>IFERROR(IF(F10="","",IF(F10=0,"",F10/F4)),"")</f>
        <v>20.126503970999824</v>
      </c>
      <c r="G24" s="64">
        <f>IFERROR(IF(G10="","",IF(G10=0,"",G10/G4)),"")</f>
        <v>22.291265158964276</v>
      </c>
      <c r="H24" s="64">
        <f>IFERROR(IF(H10="","",IF(H10=0,"",H10/H4)),"")</f>
        <v>22.929481943250217</v>
      </c>
      <c r="I24" s="64">
        <f>IFERROR(IF(I10="","",IF(I10=0,"",I10/I4)),"")</f>
        <v>23.154065827937671</v>
      </c>
      <c r="J24" s="64">
        <f>IFERROR(IF(J10="","",IF(J10=0,"",J10/J4)),"")</f>
        <v>22.724018492626818</v>
      </c>
      <c r="K24" s="64">
        <f>IFERROR(IF(K10="","",IF(K10=0,"",K10/K4)),"")</f>
        <v>22.572815354376228</v>
      </c>
      <c r="L24" s="64">
        <f>IFERROR(IF(L10="","",IF(L10=0,"",L10/L4)),"")</f>
        <v>22.233266337779401</v>
      </c>
      <c r="M24" s="64">
        <f>IFERROR(IF(M10="","",IF(M10=0,"",M10/M4)),"")</f>
        <v>26.252644116716748</v>
      </c>
      <c r="N24" s="64">
        <f>IFERROR(IF(N10="","",IF(N10=0,"",N10/N4)),"")</f>
        <v>25.359714572661527</v>
      </c>
      <c r="O24" s="64">
        <f>IFERROR(IF(O10="","",IF(O10=0,"",O10/O4)),"")</f>
        <v>21.206803183442592</v>
      </c>
      <c r="P24" s="64">
        <f>IFERROR(IF(P10="","",IF(P10=0,"",P10/P4)),"")</f>
        <v>21.528462128902866</v>
      </c>
      <c r="Q24" s="64" t="str">
        <f>IFERROR(IF(Q10="","",IF(Q10=0,"",Q10/Q4)),"")</f>
        <v/>
      </c>
      <c r="R24" s="64" t="str">
        <f>IFERROR(IF(R10="","",IF(R10=0,"",R10/R4)),"")</f>
        <v/>
      </c>
      <c r="S24" s="64">
        <f>IFERROR(IF(S10="","",IF(S10=0,"",S10/S4)),"")</f>
        <v>22.993076712788977</v>
      </c>
      <c r="T24" s="64">
        <f>IFERROR(IF(T10="","",IF(T10=0,"",T10/T4)),"")</f>
        <v>20.346087549328249</v>
      </c>
      <c r="U24" s="64">
        <f>IFERROR(IF(U10="","",IF(U10=0,"",U10/U4)),"")</f>
        <v>19.167307559066028</v>
      </c>
      <c r="V24" s="64" t="str">
        <f>IFERROR(IF(V10="","",IF(V10=0,"",V10/V4)),"")</f>
        <v/>
      </c>
      <c r="W24" s="64" t="str">
        <f>IFERROR(IF(W10="","",IF(W10=0,"",W10/W4)),"")</f>
        <v/>
      </c>
      <c r="X24" s="64" t="str">
        <f>IFERROR(IF(X10="","",IF(X10=0,"",X10/X4)),"")</f>
        <v/>
      </c>
      <c r="Y24" s="64" t="str">
        <f>IFERROR(IF(Y10="","",IF(Y10=0,"",Y10/Y4)),"")</f>
        <v/>
      </c>
      <c r="Z24" s="64" t="str">
        <f>IFERROR(IF(Z10="","",IF(Z10=0,"",Z10/Z4)),"")</f>
        <v/>
      </c>
      <c r="AA24" s="64" t="str">
        <f>IFERROR(IF(AA10="","",IF(AA10=0,"",AA10/AA4)),"")</f>
        <v/>
      </c>
      <c r="AB24" s="64" t="str">
        <f>IFERROR(IF(AB10="","",IF(AB10=0,"",AB10/AB4)),"")</f>
        <v/>
      </c>
      <c r="AC24" s="64" t="str">
        <f>IFERROR(IF(AC10="","",IF(AC10=0,"",AC10/AC4)),"")</f>
        <v/>
      </c>
      <c r="AD24" s="64" t="str">
        <f>IFERROR(IF(AD10="","",IF(AD10=0,"",AD10/AD4)),"")</f>
        <v/>
      </c>
      <c r="AE24" s="64" t="str">
        <f>IFERROR(IF(AE10="","",IF(AE10=0,"",AE10/AE4)),"")</f>
        <v/>
      </c>
      <c r="AF24" s="64" t="str">
        <f>IFERROR(IF(AF10="","",IF(AF10=0,"",AF10/AF4)),"")</f>
        <v/>
      </c>
      <c r="AG24" s="64" t="str">
        <f>IFERROR(IF(AG10="","",IF(AG10=0,"",AG10/AG4)),"")</f>
        <v/>
      </c>
      <c r="AH24" s="64" t="str">
        <f>IFERROR(IF(AH10="","",IF(AH10=0,"",AH10/AH4)),"")</f>
        <v/>
      </c>
      <c r="AI24" s="64">
        <f>IFERROR(IF(AI10="","",IF(AI10=0,"",AI10/AI4)),"")</f>
        <v>61.100638881051232</v>
      </c>
      <c r="AJ24" s="64">
        <f>IFERROR(IF(AJ10="","",IF(AJ10=0,"",AJ10/AJ4)),"")</f>
        <v>60.946024303646041</v>
      </c>
      <c r="AK24" s="64" t="str">
        <f>IFERROR(IF(AK10="","",IF(AK10=0,"",AK10/AK4)),"")</f>
        <v/>
      </c>
    </row>
    <row r="25" spans="1:37" x14ac:dyDescent="0.3">
      <c r="A25" t="s">
        <v>547</v>
      </c>
      <c r="B25" t="s">
        <v>548</v>
      </c>
      <c r="C25" s="59" t="s">
        <v>527</v>
      </c>
      <c r="D25" s="59"/>
      <c r="E25" s="68" t="str">
        <f>IFERROR(IF(E14=0,"",IF(E14&lt;0,"",E14)),"")</f>
        <v/>
      </c>
      <c r="F25" s="68">
        <f t="shared" ref="F25:AK25" si="5">IFERROR(IF(F14=0,"",IF(F14&lt;0,"",F14)),"")</f>
        <v>419108</v>
      </c>
      <c r="G25" s="68">
        <f t="shared" si="5"/>
        <v>439678</v>
      </c>
      <c r="H25" s="68">
        <f t="shared" si="5"/>
        <v>217278</v>
      </c>
      <c r="I25" s="68">
        <f t="shared" si="5"/>
        <v>344951</v>
      </c>
      <c r="J25" s="68">
        <f t="shared" si="5"/>
        <v>1069510</v>
      </c>
      <c r="K25" s="68">
        <f t="shared" si="5"/>
        <v>282861</v>
      </c>
      <c r="L25" s="68">
        <f t="shared" si="5"/>
        <v>1431394</v>
      </c>
      <c r="M25" s="68">
        <f t="shared" si="5"/>
        <v>318682</v>
      </c>
      <c r="N25" s="68">
        <f t="shared" si="5"/>
        <v>2092944</v>
      </c>
      <c r="O25" s="68">
        <f t="shared" si="5"/>
        <v>2712401</v>
      </c>
      <c r="P25" s="68">
        <f t="shared" si="5"/>
        <v>377759</v>
      </c>
      <c r="Q25" s="68" t="str">
        <f t="shared" si="5"/>
        <v/>
      </c>
      <c r="R25" s="68" t="str">
        <f t="shared" si="5"/>
        <v/>
      </c>
      <c r="S25" s="68"/>
      <c r="T25" s="68">
        <f t="shared" si="5"/>
        <v>2954548</v>
      </c>
      <c r="U25" s="68">
        <f t="shared" si="5"/>
        <v>1231935</v>
      </c>
      <c r="V25" s="68" t="str">
        <f t="shared" si="5"/>
        <v/>
      </c>
      <c r="W25" s="68" t="str">
        <f t="shared" si="5"/>
        <v/>
      </c>
      <c r="X25" s="68" t="str">
        <f t="shared" si="5"/>
        <v/>
      </c>
      <c r="Y25" s="68" t="str">
        <f t="shared" si="5"/>
        <v/>
      </c>
      <c r="Z25" s="68" t="str">
        <f t="shared" si="5"/>
        <v/>
      </c>
      <c r="AA25" s="68" t="str">
        <f t="shared" si="5"/>
        <v/>
      </c>
      <c r="AB25" s="68" t="str">
        <f t="shared" si="5"/>
        <v/>
      </c>
      <c r="AC25" s="68" t="str">
        <f t="shared" si="5"/>
        <v/>
      </c>
      <c r="AD25" s="68" t="str">
        <f t="shared" si="5"/>
        <v/>
      </c>
      <c r="AE25" s="68" t="str">
        <f t="shared" si="5"/>
        <v/>
      </c>
      <c r="AF25" s="68" t="str">
        <f t="shared" si="5"/>
        <v/>
      </c>
      <c r="AG25" s="68"/>
      <c r="AH25" s="68"/>
      <c r="AI25" s="68"/>
      <c r="AJ25" s="68">
        <f t="shared" si="5"/>
        <v>1666097</v>
      </c>
      <c r="AK25" s="68" t="str">
        <f t="shared" si="5"/>
        <v/>
      </c>
    </row>
    <row r="26" spans="1:37" ht="28.8" x14ac:dyDescent="0.3">
      <c r="B26" t="s">
        <v>549</v>
      </c>
      <c r="C26" s="59" t="s">
        <v>550</v>
      </c>
      <c r="D26" s="59"/>
      <c r="E26" s="63" t="str">
        <f>IFERROR(IF(E25/E4=0, "",E25/E4),"")</f>
        <v/>
      </c>
      <c r="F26" s="63">
        <f t="shared" ref="F26:AK26" si="6">IFERROR(IF(F25/F4=0, "",F25/F4),"")</f>
        <v>2.1642103958606587</v>
      </c>
      <c r="G26" s="63">
        <f t="shared" si="6"/>
        <v>2.4018245384027095</v>
      </c>
      <c r="H26" s="63">
        <f t="shared" si="6"/>
        <v>1.167659071367154</v>
      </c>
      <c r="I26" s="63">
        <f t="shared" si="6"/>
        <v>1.7910879419293537</v>
      </c>
      <c r="J26" s="63">
        <f t="shared" si="6"/>
        <v>5.2102342756648525</v>
      </c>
      <c r="K26" s="63">
        <f t="shared" si="6"/>
        <v>1.3081789802289281</v>
      </c>
      <c r="L26" s="63">
        <f t="shared" si="6"/>
        <v>6.2270801249423577</v>
      </c>
      <c r="M26" s="63">
        <f t="shared" si="6"/>
        <v>1.5750138383678634</v>
      </c>
      <c r="N26" s="63">
        <f t="shared" si="6"/>
        <v>9.598062909579518</v>
      </c>
      <c r="O26" s="63">
        <f t="shared" si="6"/>
        <v>9.911355447881725</v>
      </c>
      <c r="P26" s="63">
        <f t="shared" si="6"/>
        <v>1.3362114400319764</v>
      </c>
      <c r="Q26" s="63" t="str">
        <f t="shared" si="6"/>
        <v/>
      </c>
      <c r="R26" s="63" t="str">
        <f t="shared" si="6"/>
        <v/>
      </c>
      <c r="S26" s="63" t="str">
        <f t="shared" si="6"/>
        <v/>
      </c>
      <c r="T26" s="63">
        <f t="shared" si="6"/>
        <v>8.1877909812441807</v>
      </c>
      <c r="U26" s="63">
        <f t="shared" si="6"/>
        <v>3.0484084093001158</v>
      </c>
      <c r="V26" s="63" t="str">
        <f t="shared" si="6"/>
        <v/>
      </c>
      <c r="W26" s="63" t="str">
        <f t="shared" si="6"/>
        <v/>
      </c>
      <c r="X26" s="63" t="str">
        <f t="shared" si="6"/>
        <v/>
      </c>
      <c r="Y26" s="63" t="str">
        <f t="shared" si="6"/>
        <v/>
      </c>
      <c r="Z26" s="63" t="str">
        <f t="shared" si="6"/>
        <v/>
      </c>
      <c r="AA26" s="63" t="str">
        <f t="shared" si="6"/>
        <v/>
      </c>
      <c r="AB26" s="63" t="str">
        <f t="shared" si="6"/>
        <v/>
      </c>
      <c r="AC26" s="63" t="str">
        <f t="shared" si="6"/>
        <v/>
      </c>
      <c r="AD26" s="63" t="str">
        <f t="shared" si="6"/>
        <v/>
      </c>
      <c r="AE26" s="63" t="str">
        <f t="shared" si="6"/>
        <v/>
      </c>
      <c r="AF26" s="63" t="str">
        <f t="shared" si="6"/>
        <v/>
      </c>
      <c r="AG26" s="63" t="str">
        <f t="shared" si="6"/>
        <v/>
      </c>
      <c r="AH26" s="63" t="str">
        <f t="shared" si="6"/>
        <v/>
      </c>
      <c r="AI26" s="63" t="str">
        <f t="shared" si="6"/>
        <v/>
      </c>
      <c r="AJ26" s="63">
        <f t="shared" si="6"/>
        <v>2.058996835063688</v>
      </c>
      <c r="AK26" s="63" t="str">
        <f t="shared" si="6"/>
        <v/>
      </c>
    </row>
    <row r="27" spans="1:37" x14ac:dyDescent="0.3">
      <c r="C27" s="65"/>
      <c r="D27" s="65"/>
    </row>
    <row r="28" spans="1:37" ht="28.8" x14ac:dyDescent="0.3">
      <c r="B28" s="66" t="s">
        <v>551</v>
      </c>
      <c r="C28" s="65"/>
      <c r="D28" s="65"/>
    </row>
    <row r="29" spans="1:37" x14ac:dyDescent="0.3">
      <c r="B29" t="s">
        <v>552</v>
      </c>
      <c r="C29" s="65"/>
      <c r="D29" s="65"/>
    </row>
    <row r="30" spans="1:37" x14ac:dyDescent="0.3">
      <c r="C30" s="65"/>
      <c r="D30" s="65"/>
    </row>
    <row r="31" spans="1:37" x14ac:dyDescent="0.3">
      <c r="C31" s="65"/>
      <c r="D31" s="65"/>
    </row>
    <row r="32" spans="1:37" x14ac:dyDescent="0.3">
      <c r="C32" s="33"/>
      <c r="D32" s="33"/>
    </row>
    <row r="33" spans="3:4" x14ac:dyDescent="0.3">
      <c r="C33" s="33"/>
      <c r="D33" s="33"/>
    </row>
    <row r="34" spans="3:4" x14ac:dyDescent="0.3">
      <c r="C34" s="33"/>
      <c r="D34" s="33"/>
    </row>
    <row r="35" spans="3:4" x14ac:dyDescent="0.3">
      <c r="C35" s="33"/>
      <c r="D35" s="33"/>
    </row>
    <row r="36" spans="3:4" x14ac:dyDescent="0.3">
      <c r="C36" s="33"/>
      <c r="D36" s="33"/>
    </row>
    <row r="37" spans="3:4" x14ac:dyDescent="0.3">
      <c r="C37" s="33"/>
      <c r="D37" s="33"/>
    </row>
    <row r="38" spans="3:4" x14ac:dyDescent="0.3">
      <c r="C38" s="33"/>
      <c r="D38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82"/>
  <sheetViews>
    <sheetView topLeftCell="E1" workbookViewId="0">
      <pane ySplit="1" topLeftCell="A135" activePane="bottomLeft" state="frozen"/>
      <selection pane="bottomLeft" activeCell="K127" activeCellId="2" sqref="F127:F156 H127:H156 K127:K156"/>
    </sheetView>
  </sheetViews>
  <sheetFormatPr defaultRowHeight="14.4" x14ac:dyDescent="0.3"/>
  <cols>
    <col min="1" max="1" width="6.6640625" style="21" bestFit="1" customWidth="1"/>
    <col min="2" max="2" width="5.77734375" style="21" bestFit="1" customWidth="1"/>
    <col min="3" max="3" width="7" style="21" bestFit="1" customWidth="1"/>
    <col min="4" max="4" width="10.33203125" style="21" bestFit="1" customWidth="1"/>
    <col min="5" max="5" width="12.5546875" style="21" bestFit="1" customWidth="1"/>
    <col min="6" max="6" width="11.88671875" style="21" bestFit="1" customWidth="1"/>
    <col min="7" max="7" width="6.6640625" style="21" bestFit="1" customWidth="1"/>
    <col min="8" max="8" width="16.5546875" style="21" bestFit="1" customWidth="1"/>
    <col min="9" max="9" width="11.21875" style="21" bestFit="1" customWidth="1"/>
    <col min="10" max="10" width="16.77734375" style="21" bestFit="1" customWidth="1"/>
    <col min="11" max="11" width="10.5546875" style="21" bestFit="1" customWidth="1"/>
    <col min="12" max="12" width="14.5546875" style="36" bestFit="1" customWidth="1"/>
    <col min="13" max="13" width="10.5546875" style="2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97</v>
      </c>
      <c r="E1" s="2" t="s">
        <v>98</v>
      </c>
      <c r="F1" s="2" t="s">
        <v>99</v>
      </c>
      <c r="G1" s="2" t="s">
        <v>100</v>
      </c>
      <c r="H1" s="5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</row>
    <row r="2" spans="1:13" x14ac:dyDescent="0.3">
      <c r="A2" s="33" t="s">
        <v>179</v>
      </c>
      <c r="B2" s="21" t="s">
        <v>180</v>
      </c>
      <c r="C2" s="21">
        <v>2019</v>
      </c>
      <c r="D2" s="21" t="s">
        <v>183</v>
      </c>
      <c r="E2" s="21" t="s">
        <v>190</v>
      </c>
      <c r="F2" s="21">
        <v>2019</v>
      </c>
      <c r="H2" s="21" t="s">
        <v>192</v>
      </c>
      <c r="I2" s="21" t="s">
        <v>185</v>
      </c>
      <c r="J2" s="34">
        <v>10000000</v>
      </c>
      <c r="K2" s="21" t="s">
        <v>185</v>
      </c>
      <c r="L2" s="21" t="s">
        <v>185</v>
      </c>
      <c r="M2" s="21" t="s">
        <v>185</v>
      </c>
    </row>
    <row r="3" spans="1:13" x14ac:dyDescent="0.3">
      <c r="A3" s="33" t="s">
        <v>179</v>
      </c>
      <c r="B3" s="21" t="s">
        <v>180</v>
      </c>
      <c r="C3" s="21">
        <v>2019</v>
      </c>
      <c r="D3" s="21" t="s">
        <v>183</v>
      </c>
      <c r="E3" s="21" t="s">
        <v>190</v>
      </c>
      <c r="F3" s="21">
        <v>2020</v>
      </c>
      <c r="H3" s="21" t="s">
        <v>192</v>
      </c>
      <c r="I3" s="21" t="s">
        <v>185</v>
      </c>
      <c r="J3" s="34">
        <v>10000000</v>
      </c>
      <c r="K3" s="21" t="s">
        <v>185</v>
      </c>
      <c r="L3" s="21" t="s">
        <v>185</v>
      </c>
      <c r="M3" s="21" t="s">
        <v>185</v>
      </c>
    </row>
    <row r="4" spans="1:13" x14ac:dyDescent="0.3">
      <c r="A4" s="33" t="s">
        <v>179</v>
      </c>
      <c r="B4" s="21" t="s">
        <v>180</v>
      </c>
      <c r="C4" s="21">
        <v>2019</v>
      </c>
      <c r="D4" s="21" t="s">
        <v>183</v>
      </c>
      <c r="E4" s="21" t="s">
        <v>190</v>
      </c>
      <c r="F4" s="21">
        <v>2021</v>
      </c>
      <c r="H4" s="21" t="s">
        <v>192</v>
      </c>
      <c r="I4" s="21" t="s">
        <v>185</v>
      </c>
      <c r="J4" s="34">
        <v>10000000</v>
      </c>
      <c r="K4" s="21" t="s">
        <v>185</v>
      </c>
      <c r="L4" s="21" t="s">
        <v>185</v>
      </c>
      <c r="M4" s="21" t="s">
        <v>185</v>
      </c>
    </row>
    <row r="5" spans="1:13" x14ac:dyDescent="0.3">
      <c r="A5" s="33" t="s">
        <v>179</v>
      </c>
      <c r="B5" s="21" t="s">
        <v>180</v>
      </c>
      <c r="C5" s="21">
        <v>2019</v>
      </c>
      <c r="D5" s="21" t="s">
        <v>183</v>
      </c>
      <c r="E5" s="21" t="s">
        <v>190</v>
      </c>
      <c r="F5" s="21">
        <v>2022</v>
      </c>
      <c r="H5" s="21" t="s">
        <v>192</v>
      </c>
      <c r="I5" s="21" t="s">
        <v>185</v>
      </c>
      <c r="J5" s="34">
        <v>10000000</v>
      </c>
      <c r="K5" s="21" t="s">
        <v>185</v>
      </c>
      <c r="L5" s="21" t="s">
        <v>185</v>
      </c>
      <c r="M5" s="21" t="s">
        <v>185</v>
      </c>
    </row>
    <row r="6" spans="1:13" x14ac:dyDescent="0.3">
      <c r="A6" s="33" t="s">
        <v>179</v>
      </c>
      <c r="B6" s="21" t="s">
        <v>180</v>
      </c>
      <c r="C6" s="21">
        <v>2019</v>
      </c>
      <c r="D6" s="21" t="s">
        <v>183</v>
      </c>
      <c r="E6" s="21" t="s">
        <v>190</v>
      </c>
      <c r="F6" s="21">
        <v>2023</v>
      </c>
      <c r="H6" s="21" t="s">
        <v>192</v>
      </c>
      <c r="I6" s="21" t="s">
        <v>185</v>
      </c>
      <c r="J6" s="34">
        <v>10000000</v>
      </c>
      <c r="K6" s="21" t="s">
        <v>185</v>
      </c>
      <c r="L6" s="21" t="s">
        <v>185</v>
      </c>
      <c r="M6" s="21" t="s">
        <v>185</v>
      </c>
    </row>
    <row r="7" spans="1:13" x14ac:dyDescent="0.3">
      <c r="A7" s="33" t="s">
        <v>179</v>
      </c>
      <c r="B7" s="21" t="s">
        <v>180</v>
      </c>
      <c r="C7" s="21">
        <v>2019</v>
      </c>
      <c r="D7" s="21" t="s">
        <v>183</v>
      </c>
      <c r="E7" s="21" t="s">
        <v>190</v>
      </c>
      <c r="F7" s="21">
        <v>2024</v>
      </c>
      <c r="G7" s="21" t="s">
        <v>191</v>
      </c>
      <c r="H7" s="34">
        <v>50000</v>
      </c>
      <c r="I7" s="35">
        <v>3</v>
      </c>
      <c r="J7" s="34">
        <f>J6-H7</f>
        <v>9950000</v>
      </c>
      <c r="K7" s="21" t="s">
        <v>185</v>
      </c>
      <c r="L7" s="36">
        <v>2.7</v>
      </c>
      <c r="M7" s="45">
        <v>101.48699999999999</v>
      </c>
    </row>
    <row r="8" spans="1:13" x14ac:dyDescent="0.3">
      <c r="A8" s="33" t="s">
        <v>179</v>
      </c>
      <c r="B8" s="21" t="s">
        <v>180</v>
      </c>
      <c r="C8" s="21">
        <v>2019</v>
      </c>
      <c r="D8" s="21" t="s">
        <v>183</v>
      </c>
      <c r="E8" s="21" t="s">
        <v>190</v>
      </c>
      <c r="F8" s="21">
        <v>2025</v>
      </c>
      <c r="G8" s="21" t="s">
        <v>191</v>
      </c>
      <c r="H8" s="34">
        <v>50000</v>
      </c>
      <c r="I8" s="21">
        <v>3</v>
      </c>
      <c r="J8" s="34">
        <f>J7-H8</f>
        <v>9900000</v>
      </c>
      <c r="K8" s="21" t="s">
        <v>185</v>
      </c>
      <c r="L8" s="36">
        <v>2.8</v>
      </c>
      <c r="M8" s="21">
        <v>100.998</v>
      </c>
    </row>
    <row r="9" spans="1:13" x14ac:dyDescent="0.3">
      <c r="A9" s="33" t="s">
        <v>179</v>
      </c>
      <c r="B9" s="21" t="s">
        <v>180</v>
      </c>
      <c r="C9" s="21">
        <v>2019</v>
      </c>
      <c r="D9" s="21" t="s">
        <v>183</v>
      </c>
      <c r="F9" s="21">
        <v>2026</v>
      </c>
      <c r="H9" s="21" t="s">
        <v>192</v>
      </c>
      <c r="I9" s="21" t="s">
        <v>185</v>
      </c>
      <c r="J9" s="34">
        <v>9900000</v>
      </c>
      <c r="K9" s="21" t="s">
        <v>185</v>
      </c>
      <c r="L9" s="21" t="s">
        <v>185</v>
      </c>
      <c r="M9" s="21" t="s">
        <v>185</v>
      </c>
    </row>
    <row r="10" spans="1:13" x14ac:dyDescent="0.3">
      <c r="A10" s="33" t="s">
        <v>179</v>
      </c>
      <c r="B10" s="21" t="s">
        <v>180</v>
      </c>
      <c r="C10" s="21">
        <v>2019</v>
      </c>
      <c r="D10" s="21" t="s">
        <v>183</v>
      </c>
      <c r="F10" s="21">
        <v>2027</v>
      </c>
      <c r="H10" s="21" t="s">
        <v>192</v>
      </c>
      <c r="I10" s="21" t="s">
        <v>185</v>
      </c>
      <c r="J10" s="34">
        <v>9900000</v>
      </c>
      <c r="K10" s="21" t="s">
        <v>185</v>
      </c>
      <c r="L10" s="21" t="s">
        <v>185</v>
      </c>
      <c r="M10" s="21" t="s">
        <v>185</v>
      </c>
    </row>
    <row r="11" spans="1:13" x14ac:dyDescent="0.3">
      <c r="A11" s="33" t="s">
        <v>179</v>
      </c>
      <c r="B11" s="21" t="s">
        <v>180</v>
      </c>
      <c r="C11" s="21">
        <v>2019</v>
      </c>
      <c r="D11" s="21" t="s">
        <v>183</v>
      </c>
      <c r="F11" s="21">
        <v>2028</v>
      </c>
      <c r="H11" s="21" t="s">
        <v>192</v>
      </c>
      <c r="I11" s="21" t="s">
        <v>185</v>
      </c>
      <c r="J11" s="34">
        <v>9900000</v>
      </c>
      <c r="K11" s="21" t="s">
        <v>185</v>
      </c>
      <c r="L11" s="21" t="s">
        <v>185</v>
      </c>
      <c r="M11" s="21" t="s">
        <v>185</v>
      </c>
    </row>
    <row r="12" spans="1:13" x14ac:dyDescent="0.3">
      <c r="A12" s="33" t="s">
        <v>179</v>
      </c>
      <c r="B12" s="21" t="s">
        <v>180</v>
      </c>
      <c r="C12" s="21">
        <v>2019</v>
      </c>
      <c r="D12" s="21" t="s">
        <v>183</v>
      </c>
      <c r="F12" s="21">
        <v>2029</v>
      </c>
      <c r="H12" s="21" t="s">
        <v>192</v>
      </c>
      <c r="I12" s="21" t="s">
        <v>185</v>
      </c>
      <c r="J12" s="34">
        <v>9900000</v>
      </c>
      <c r="K12" s="21" t="s">
        <v>185</v>
      </c>
      <c r="L12" s="21" t="s">
        <v>185</v>
      </c>
      <c r="M12" s="21" t="s">
        <v>185</v>
      </c>
    </row>
    <row r="13" spans="1:13" x14ac:dyDescent="0.3">
      <c r="A13" s="33" t="s">
        <v>179</v>
      </c>
      <c r="B13" s="21" t="s">
        <v>180</v>
      </c>
      <c r="C13" s="21">
        <v>2019</v>
      </c>
      <c r="D13" s="21" t="s">
        <v>183</v>
      </c>
      <c r="F13" s="21">
        <v>2030</v>
      </c>
      <c r="H13" s="21" t="s">
        <v>192</v>
      </c>
      <c r="I13" s="21" t="s">
        <v>185</v>
      </c>
      <c r="J13" s="34">
        <v>9900000</v>
      </c>
      <c r="K13" s="21" t="s">
        <v>185</v>
      </c>
      <c r="L13" s="21" t="s">
        <v>185</v>
      </c>
      <c r="M13" s="21" t="s">
        <v>185</v>
      </c>
    </row>
    <row r="14" spans="1:13" x14ac:dyDescent="0.3">
      <c r="A14" s="33" t="s">
        <v>179</v>
      </c>
      <c r="B14" s="21" t="s">
        <v>180</v>
      </c>
      <c r="C14" s="21">
        <v>2019</v>
      </c>
      <c r="D14" s="21" t="s">
        <v>183</v>
      </c>
      <c r="E14" s="21" t="s">
        <v>195</v>
      </c>
      <c r="F14" s="21">
        <v>2031</v>
      </c>
      <c r="G14" s="21" t="s">
        <v>191</v>
      </c>
      <c r="H14" s="34">
        <v>20000</v>
      </c>
      <c r="I14" s="21">
        <v>3.4</v>
      </c>
      <c r="J14" s="34">
        <f>J13-H14</f>
        <v>9880000</v>
      </c>
      <c r="K14" s="21" t="s">
        <v>185</v>
      </c>
      <c r="L14" s="36">
        <v>3.55</v>
      </c>
      <c r="M14" s="21">
        <v>98.275000000000006</v>
      </c>
    </row>
    <row r="15" spans="1:13" x14ac:dyDescent="0.3">
      <c r="A15" s="33" t="s">
        <v>179</v>
      </c>
      <c r="B15" s="21" t="s">
        <v>180</v>
      </c>
      <c r="C15" s="21">
        <v>2019</v>
      </c>
      <c r="D15" s="21" t="s">
        <v>183</v>
      </c>
      <c r="E15" s="21" t="s">
        <v>195</v>
      </c>
      <c r="F15" s="21">
        <v>2032</v>
      </c>
      <c r="G15" s="21" t="s">
        <v>191</v>
      </c>
      <c r="H15" s="34">
        <v>25000</v>
      </c>
      <c r="I15" s="21">
        <v>3.4</v>
      </c>
      <c r="J15" s="34">
        <f t="shared" ref="J15:J30" si="0">J14-H15</f>
        <v>9855000</v>
      </c>
      <c r="K15" s="21" t="s">
        <v>185</v>
      </c>
      <c r="L15" s="36">
        <v>3.55</v>
      </c>
      <c r="M15" s="21">
        <v>98.275000000000006</v>
      </c>
    </row>
    <row r="16" spans="1:13" x14ac:dyDescent="0.3">
      <c r="A16" s="33" t="s">
        <v>179</v>
      </c>
      <c r="B16" s="21" t="s">
        <v>180</v>
      </c>
      <c r="C16" s="21">
        <v>2019</v>
      </c>
      <c r="D16" s="21" t="s">
        <v>183</v>
      </c>
      <c r="E16" s="21" t="s">
        <v>195</v>
      </c>
      <c r="F16" s="21">
        <v>2033</v>
      </c>
      <c r="G16" s="21" t="s">
        <v>191</v>
      </c>
      <c r="H16" s="34">
        <v>25000</v>
      </c>
      <c r="I16" s="21">
        <v>3.4</v>
      </c>
      <c r="J16" s="34">
        <f t="shared" si="0"/>
        <v>9830000</v>
      </c>
      <c r="K16" s="21" t="s">
        <v>185</v>
      </c>
      <c r="L16" s="36">
        <v>3.55</v>
      </c>
      <c r="M16" s="21">
        <v>98.275000000000006</v>
      </c>
    </row>
    <row r="17" spans="1:13" x14ac:dyDescent="0.3">
      <c r="A17" s="33" t="s">
        <v>179</v>
      </c>
      <c r="B17" s="21" t="s">
        <v>180</v>
      </c>
      <c r="C17" s="21">
        <v>2019</v>
      </c>
      <c r="D17" s="21" t="s">
        <v>183</v>
      </c>
      <c r="E17" s="21" t="s">
        <v>195</v>
      </c>
      <c r="F17" s="21">
        <v>2034</v>
      </c>
      <c r="G17" s="21" t="s">
        <v>191</v>
      </c>
      <c r="H17" s="34">
        <v>25000</v>
      </c>
      <c r="I17" s="21">
        <v>3.7</v>
      </c>
      <c r="J17" s="34">
        <f t="shared" si="0"/>
        <v>9805000</v>
      </c>
      <c r="K17" s="21" t="s">
        <v>185</v>
      </c>
      <c r="L17" s="36">
        <v>3.83</v>
      </c>
      <c r="M17" s="21">
        <v>98.198999999999998</v>
      </c>
    </row>
    <row r="18" spans="1:13" x14ac:dyDescent="0.3">
      <c r="A18" s="33" t="s">
        <v>179</v>
      </c>
      <c r="B18" s="21" t="s">
        <v>180</v>
      </c>
      <c r="C18" s="21">
        <v>2019</v>
      </c>
      <c r="D18" s="21" t="s">
        <v>183</v>
      </c>
      <c r="E18" s="21" t="s">
        <v>195</v>
      </c>
      <c r="F18" s="21">
        <v>2035</v>
      </c>
      <c r="G18" s="21" t="s">
        <v>191</v>
      </c>
      <c r="H18" s="34">
        <v>25000</v>
      </c>
      <c r="I18" s="21">
        <v>3.7</v>
      </c>
      <c r="J18" s="34">
        <f t="shared" si="0"/>
        <v>9780000</v>
      </c>
      <c r="K18" s="21" t="s">
        <v>185</v>
      </c>
      <c r="L18" s="36">
        <v>3.83</v>
      </c>
      <c r="M18" s="21">
        <v>98.198999999999998</v>
      </c>
    </row>
    <row r="19" spans="1:13" x14ac:dyDescent="0.3">
      <c r="A19" s="33" t="s">
        <v>179</v>
      </c>
      <c r="B19" s="21" t="s">
        <v>180</v>
      </c>
      <c r="C19" s="21">
        <v>2019</v>
      </c>
      <c r="D19" s="21" t="s">
        <v>183</v>
      </c>
      <c r="E19" s="21" t="s">
        <v>195</v>
      </c>
      <c r="F19" s="21">
        <v>2036</v>
      </c>
      <c r="G19" s="21" t="s">
        <v>191</v>
      </c>
      <c r="H19" s="34">
        <v>30000</v>
      </c>
      <c r="I19" s="21">
        <v>3.7</v>
      </c>
      <c r="J19" s="34">
        <f t="shared" si="0"/>
        <v>9750000</v>
      </c>
      <c r="K19" s="21" t="s">
        <v>185</v>
      </c>
      <c r="L19" s="36">
        <v>3.83</v>
      </c>
      <c r="M19" s="21">
        <v>98.198999999999998</v>
      </c>
    </row>
    <row r="20" spans="1:13" x14ac:dyDescent="0.3">
      <c r="A20" s="33" t="s">
        <v>179</v>
      </c>
      <c r="B20" s="21" t="s">
        <v>180</v>
      </c>
      <c r="C20" s="21">
        <v>2019</v>
      </c>
      <c r="D20" s="21" t="s">
        <v>183</v>
      </c>
      <c r="E20" s="21" t="s">
        <v>195</v>
      </c>
      <c r="F20" s="21">
        <v>2037</v>
      </c>
      <c r="G20" s="21" t="s">
        <v>191</v>
      </c>
      <c r="H20" s="34">
        <v>35000</v>
      </c>
      <c r="I20" s="21">
        <v>3.7</v>
      </c>
      <c r="J20" s="34">
        <f t="shared" si="0"/>
        <v>9715000</v>
      </c>
      <c r="K20" s="21" t="s">
        <v>185</v>
      </c>
      <c r="L20" s="36">
        <v>3.83</v>
      </c>
      <c r="M20" s="21">
        <v>98.198999999999998</v>
      </c>
    </row>
    <row r="21" spans="1:13" x14ac:dyDescent="0.3">
      <c r="A21" s="33" t="s">
        <v>179</v>
      </c>
      <c r="B21" s="21" t="s">
        <v>180</v>
      </c>
      <c r="C21" s="21">
        <v>2019</v>
      </c>
      <c r="D21" s="21" t="s">
        <v>183</v>
      </c>
      <c r="E21" s="21" t="s">
        <v>195</v>
      </c>
      <c r="F21" s="21">
        <v>2038</v>
      </c>
      <c r="G21" s="21" t="s">
        <v>191</v>
      </c>
      <c r="H21" s="34">
        <v>40000</v>
      </c>
      <c r="I21" s="21">
        <v>3.7</v>
      </c>
      <c r="J21" s="34">
        <f t="shared" si="0"/>
        <v>9675000</v>
      </c>
      <c r="K21" s="21" t="s">
        <v>185</v>
      </c>
      <c r="L21" s="36">
        <v>3.83</v>
      </c>
      <c r="M21" s="21">
        <v>98.198999999999998</v>
      </c>
    </row>
    <row r="22" spans="1:13" x14ac:dyDescent="0.3">
      <c r="A22" s="33" t="s">
        <v>179</v>
      </c>
      <c r="B22" s="21" t="s">
        <v>180</v>
      </c>
      <c r="C22" s="21">
        <v>2019</v>
      </c>
      <c r="D22" s="21" t="s">
        <v>183</v>
      </c>
      <c r="E22" s="21" t="s">
        <v>195</v>
      </c>
      <c r="F22" s="21">
        <v>2039</v>
      </c>
      <c r="G22" s="21" t="s">
        <v>191</v>
      </c>
      <c r="H22" s="34">
        <v>45000</v>
      </c>
      <c r="I22" s="21">
        <v>4</v>
      </c>
      <c r="J22" s="34">
        <f t="shared" si="0"/>
        <v>9630000</v>
      </c>
      <c r="K22" s="21" t="s">
        <v>185</v>
      </c>
      <c r="L22" s="36">
        <v>4</v>
      </c>
      <c r="M22" s="21">
        <v>100</v>
      </c>
    </row>
    <row r="23" spans="1:13" x14ac:dyDescent="0.3">
      <c r="A23" s="33" t="s">
        <v>179</v>
      </c>
      <c r="B23" s="21" t="s">
        <v>180</v>
      </c>
      <c r="C23" s="21">
        <v>2019</v>
      </c>
      <c r="D23" s="21" t="s">
        <v>183</v>
      </c>
      <c r="E23" s="21" t="s">
        <v>195</v>
      </c>
      <c r="F23" s="21">
        <v>2040</v>
      </c>
      <c r="G23" s="21" t="s">
        <v>191</v>
      </c>
      <c r="H23" s="34">
        <v>1025000</v>
      </c>
      <c r="I23" s="21">
        <v>4</v>
      </c>
      <c r="J23" s="34">
        <f t="shared" si="0"/>
        <v>8605000</v>
      </c>
      <c r="K23" s="21" t="s">
        <v>185</v>
      </c>
      <c r="L23" s="36">
        <v>4</v>
      </c>
      <c r="M23" s="21">
        <v>100</v>
      </c>
    </row>
    <row r="24" spans="1:13" x14ac:dyDescent="0.3">
      <c r="A24" s="33" t="s">
        <v>179</v>
      </c>
      <c r="B24" s="21" t="s">
        <v>180</v>
      </c>
      <c r="C24" s="21">
        <v>2019</v>
      </c>
      <c r="D24" s="21" t="s">
        <v>183</v>
      </c>
      <c r="E24" s="21" t="s">
        <v>195</v>
      </c>
      <c r="F24" s="21">
        <v>2041</v>
      </c>
      <c r="G24" s="21" t="s">
        <v>191</v>
      </c>
      <c r="H24" s="34">
        <v>1070000</v>
      </c>
      <c r="I24" s="21">
        <v>4</v>
      </c>
      <c r="J24" s="34">
        <f t="shared" si="0"/>
        <v>7535000</v>
      </c>
      <c r="K24" s="21" t="s">
        <v>185</v>
      </c>
      <c r="L24" s="36">
        <v>4.05</v>
      </c>
      <c r="M24" s="21">
        <v>99.216999999999999</v>
      </c>
    </row>
    <row r="25" spans="1:13" x14ac:dyDescent="0.3">
      <c r="A25" s="33" t="s">
        <v>179</v>
      </c>
      <c r="B25" s="21" t="s">
        <v>180</v>
      </c>
      <c r="C25" s="21">
        <v>2019</v>
      </c>
      <c r="D25" s="21" t="s">
        <v>183</v>
      </c>
      <c r="E25" s="21" t="s">
        <v>195</v>
      </c>
      <c r="F25" s="21">
        <v>2042</v>
      </c>
      <c r="G25" s="21" t="s">
        <v>191</v>
      </c>
      <c r="H25" s="34">
        <v>1120000</v>
      </c>
      <c r="I25" s="21">
        <v>4</v>
      </c>
      <c r="J25" s="34">
        <f t="shared" si="0"/>
        <v>6415000</v>
      </c>
      <c r="K25" s="21" t="s">
        <v>185</v>
      </c>
      <c r="L25" s="36">
        <v>4.05</v>
      </c>
      <c r="M25" s="21">
        <v>99.216999999999999</v>
      </c>
    </row>
    <row r="26" spans="1:13" x14ac:dyDescent="0.3">
      <c r="A26" s="33" t="s">
        <v>179</v>
      </c>
      <c r="B26" s="21" t="s">
        <v>180</v>
      </c>
      <c r="C26" s="21">
        <v>2019</v>
      </c>
      <c r="D26" s="21" t="s">
        <v>183</v>
      </c>
      <c r="E26" s="21" t="s">
        <v>195</v>
      </c>
      <c r="F26" s="21">
        <v>2043</v>
      </c>
      <c r="G26" s="21" t="s">
        <v>191</v>
      </c>
      <c r="H26" s="34">
        <v>1170000</v>
      </c>
      <c r="I26" s="21">
        <v>4</v>
      </c>
      <c r="J26" s="34">
        <f t="shared" si="0"/>
        <v>5245000</v>
      </c>
      <c r="K26" s="21" t="s">
        <v>185</v>
      </c>
      <c r="L26" s="36">
        <v>4.05</v>
      </c>
      <c r="M26" s="21">
        <v>99.216999999999999</v>
      </c>
    </row>
    <row r="27" spans="1:13" x14ac:dyDescent="0.3">
      <c r="A27" s="33" t="s">
        <v>179</v>
      </c>
      <c r="B27" s="21" t="s">
        <v>180</v>
      </c>
      <c r="C27" s="21">
        <v>2019</v>
      </c>
      <c r="D27" s="21" t="s">
        <v>183</v>
      </c>
      <c r="E27" s="21" t="s">
        <v>195</v>
      </c>
      <c r="F27" s="21">
        <v>2044</v>
      </c>
      <c r="G27" s="21" t="s">
        <v>191</v>
      </c>
      <c r="H27" s="34">
        <v>1225000</v>
      </c>
      <c r="I27" s="21">
        <v>4</v>
      </c>
      <c r="J27" s="34">
        <f t="shared" si="0"/>
        <v>4020000</v>
      </c>
      <c r="K27" s="21" t="s">
        <v>185</v>
      </c>
      <c r="L27" s="36">
        <v>4.09</v>
      </c>
      <c r="M27" s="21">
        <v>98.478999999999999</v>
      </c>
    </row>
    <row r="28" spans="1:13" x14ac:dyDescent="0.3">
      <c r="A28" s="33" t="s">
        <v>179</v>
      </c>
      <c r="B28" s="21" t="s">
        <v>180</v>
      </c>
      <c r="C28" s="21">
        <v>2019</v>
      </c>
      <c r="D28" s="21" t="s">
        <v>183</v>
      </c>
      <c r="E28" s="21" t="s">
        <v>195</v>
      </c>
      <c r="F28" s="21">
        <v>2045</v>
      </c>
      <c r="G28" s="21" t="s">
        <v>191</v>
      </c>
      <c r="H28" s="34">
        <v>1280000</v>
      </c>
      <c r="I28" s="21">
        <v>4</v>
      </c>
      <c r="J28" s="34">
        <f t="shared" si="0"/>
        <v>2740000</v>
      </c>
      <c r="K28" s="21" t="s">
        <v>185</v>
      </c>
      <c r="L28" s="36">
        <v>4.09</v>
      </c>
      <c r="M28" s="21">
        <v>98.478999999999999</v>
      </c>
    </row>
    <row r="29" spans="1:13" x14ac:dyDescent="0.3">
      <c r="A29" s="33" t="s">
        <v>179</v>
      </c>
      <c r="B29" s="21" t="s">
        <v>180</v>
      </c>
      <c r="C29" s="21">
        <v>2019</v>
      </c>
      <c r="D29" s="21" t="s">
        <v>183</v>
      </c>
      <c r="E29" s="21" t="s">
        <v>195</v>
      </c>
      <c r="F29" s="21">
        <v>2046</v>
      </c>
      <c r="G29" s="21" t="s">
        <v>191</v>
      </c>
      <c r="H29" s="34">
        <v>1340000</v>
      </c>
      <c r="I29" s="21">
        <v>4</v>
      </c>
      <c r="J29" s="34">
        <f t="shared" si="0"/>
        <v>1400000</v>
      </c>
      <c r="K29" s="21" t="s">
        <v>185</v>
      </c>
      <c r="L29" s="36">
        <v>4.09</v>
      </c>
      <c r="M29" s="21">
        <v>98.478999999999999</v>
      </c>
    </row>
    <row r="30" spans="1:13" x14ac:dyDescent="0.3">
      <c r="A30" s="33" t="s">
        <v>179</v>
      </c>
      <c r="B30" s="21" t="s">
        <v>180</v>
      </c>
      <c r="C30" s="21">
        <v>2019</v>
      </c>
      <c r="D30" s="21" t="s">
        <v>183</v>
      </c>
      <c r="E30" s="21" t="s">
        <v>195</v>
      </c>
      <c r="F30" s="21">
        <v>2047</v>
      </c>
      <c r="G30" s="21" t="s">
        <v>191</v>
      </c>
      <c r="H30" s="34">
        <v>1400000</v>
      </c>
      <c r="I30" s="21">
        <v>4</v>
      </c>
      <c r="J30" s="34">
        <f t="shared" si="0"/>
        <v>0</v>
      </c>
      <c r="K30" s="21" t="s">
        <v>185</v>
      </c>
      <c r="L30" s="36">
        <v>4.09</v>
      </c>
      <c r="M30" s="21">
        <v>98.478999999999999</v>
      </c>
    </row>
    <row r="31" spans="1:13" x14ac:dyDescent="0.3">
      <c r="A31" s="33" t="s">
        <v>179</v>
      </c>
      <c r="B31" s="21" t="s">
        <v>180</v>
      </c>
      <c r="C31" s="21">
        <v>2018</v>
      </c>
      <c r="D31" s="21" t="s">
        <v>183</v>
      </c>
      <c r="E31" s="21" t="s">
        <v>190</v>
      </c>
      <c r="F31" s="21">
        <v>2018</v>
      </c>
      <c r="H31" s="21" t="s">
        <v>192</v>
      </c>
      <c r="I31" s="21" t="s">
        <v>185</v>
      </c>
      <c r="J31" s="21">
        <v>10000000</v>
      </c>
      <c r="K31" s="21" t="s">
        <v>185</v>
      </c>
      <c r="L31" s="36" t="s">
        <v>185</v>
      </c>
      <c r="M31" s="21" t="s">
        <v>185</v>
      </c>
    </row>
    <row r="32" spans="1:13" x14ac:dyDescent="0.3">
      <c r="A32" s="33" t="s">
        <v>179</v>
      </c>
      <c r="B32" s="21" t="s">
        <v>180</v>
      </c>
      <c r="C32" s="21">
        <v>2018</v>
      </c>
      <c r="D32" s="21" t="s">
        <v>183</v>
      </c>
      <c r="E32" s="21" t="s">
        <v>190</v>
      </c>
      <c r="F32" s="21">
        <v>2019</v>
      </c>
      <c r="H32" s="21" t="s">
        <v>192</v>
      </c>
      <c r="I32" s="21" t="s">
        <v>185</v>
      </c>
      <c r="J32" s="21">
        <v>10000000</v>
      </c>
      <c r="K32" s="21" t="s">
        <v>185</v>
      </c>
      <c r="L32" s="36" t="s">
        <v>185</v>
      </c>
      <c r="M32" s="21" t="s">
        <v>185</v>
      </c>
    </row>
    <row r="33" spans="1:13" x14ac:dyDescent="0.3">
      <c r="A33" s="33" t="s">
        <v>179</v>
      </c>
      <c r="B33" s="21" t="s">
        <v>180</v>
      </c>
      <c r="C33" s="21">
        <v>2018</v>
      </c>
      <c r="D33" s="21" t="s">
        <v>183</v>
      </c>
      <c r="E33" s="21" t="s">
        <v>190</v>
      </c>
      <c r="F33" s="21">
        <v>2020</v>
      </c>
      <c r="H33" s="21" t="s">
        <v>192</v>
      </c>
      <c r="I33" s="21" t="s">
        <v>185</v>
      </c>
      <c r="J33" s="21">
        <v>10000000</v>
      </c>
      <c r="K33" s="21" t="s">
        <v>185</v>
      </c>
      <c r="L33" s="36" t="s">
        <v>185</v>
      </c>
      <c r="M33" s="21" t="s">
        <v>185</v>
      </c>
    </row>
    <row r="34" spans="1:13" x14ac:dyDescent="0.3">
      <c r="A34" s="33" t="s">
        <v>179</v>
      </c>
      <c r="B34" s="21" t="s">
        <v>180</v>
      </c>
      <c r="C34" s="21">
        <v>2018</v>
      </c>
      <c r="D34" s="21" t="s">
        <v>183</v>
      </c>
      <c r="E34" s="21" t="s">
        <v>190</v>
      </c>
      <c r="F34" s="21">
        <v>2021</v>
      </c>
      <c r="H34" s="21" t="s">
        <v>192</v>
      </c>
      <c r="I34" s="21" t="s">
        <v>185</v>
      </c>
      <c r="J34" s="21">
        <v>10000000</v>
      </c>
      <c r="K34" s="21" t="s">
        <v>185</v>
      </c>
      <c r="L34" s="36" t="s">
        <v>185</v>
      </c>
      <c r="M34" s="21" t="s">
        <v>185</v>
      </c>
    </row>
    <row r="35" spans="1:13" x14ac:dyDescent="0.3">
      <c r="A35" s="33" t="s">
        <v>179</v>
      </c>
      <c r="B35" s="21" t="s">
        <v>180</v>
      </c>
      <c r="C35" s="21">
        <v>2018</v>
      </c>
      <c r="D35" s="21" t="s">
        <v>183</v>
      </c>
      <c r="E35" s="21" t="s">
        <v>190</v>
      </c>
      <c r="F35" s="21">
        <v>2022</v>
      </c>
      <c r="H35" s="21" t="s">
        <v>192</v>
      </c>
      <c r="I35" s="21" t="s">
        <v>185</v>
      </c>
      <c r="J35" s="21">
        <v>10000000</v>
      </c>
      <c r="K35" s="21" t="s">
        <v>185</v>
      </c>
      <c r="L35" s="36" t="s">
        <v>185</v>
      </c>
      <c r="M35" s="21" t="s">
        <v>185</v>
      </c>
    </row>
    <row r="36" spans="1:13" x14ac:dyDescent="0.3">
      <c r="A36" s="33" t="s">
        <v>179</v>
      </c>
      <c r="B36" s="21" t="s">
        <v>180</v>
      </c>
      <c r="C36" s="21">
        <v>2018</v>
      </c>
      <c r="D36" s="21" t="s">
        <v>183</v>
      </c>
      <c r="E36" s="21" t="s">
        <v>190</v>
      </c>
      <c r="F36" s="21">
        <v>2023</v>
      </c>
      <c r="H36" s="21" t="s">
        <v>192</v>
      </c>
      <c r="I36" s="21" t="s">
        <v>185</v>
      </c>
      <c r="J36" s="21">
        <v>10000000</v>
      </c>
      <c r="K36" s="21" t="s">
        <v>185</v>
      </c>
      <c r="L36" s="36" t="s">
        <v>185</v>
      </c>
      <c r="M36" s="21" t="s">
        <v>185</v>
      </c>
    </row>
    <row r="37" spans="1:13" x14ac:dyDescent="0.3">
      <c r="A37" s="33" t="s">
        <v>179</v>
      </c>
      <c r="B37" s="21" t="s">
        <v>180</v>
      </c>
      <c r="C37" s="21">
        <v>2018</v>
      </c>
      <c r="D37" s="21" t="s">
        <v>183</v>
      </c>
      <c r="E37" s="21" t="s">
        <v>190</v>
      </c>
      <c r="F37" s="21">
        <v>2024</v>
      </c>
      <c r="H37" s="21" t="s">
        <v>192</v>
      </c>
      <c r="I37" s="21" t="s">
        <v>185</v>
      </c>
      <c r="J37" s="21">
        <v>10000000</v>
      </c>
      <c r="K37" s="21" t="s">
        <v>185</v>
      </c>
      <c r="L37" s="36" t="s">
        <v>185</v>
      </c>
      <c r="M37" s="21" t="s">
        <v>185</v>
      </c>
    </row>
    <row r="38" spans="1:13" x14ac:dyDescent="0.3">
      <c r="A38" s="33" t="s">
        <v>179</v>
      </c>
      <c r="B38" s="21" t="s">
        <v>180</v>
      </c>
      <c r="C38" s="21">
        <v>2018</v>
      </c>
      <c r="D38" s="21" t="s">
        <v>183</v>
      </c>
      <c r="E38" s="21" t="s">
        <v>190</v>
      </c>
      <c r="F38" s="21">
        <v>2025</v>
      </c>
      <c r="H38" s="21" t="s">
        <v>192</v>
      </c>
      <c r="I38" s="21" t="s">
        <v>185</v>
      </c>
      <c r="J38" s="21">
        <v>10000000</v>
      </c>
      <c r="K38" s="21" t="s">
        <v>185</v>
      </c>
      <c r="L38" s="36" t="s">
        <v>185</v>
      </c>
      <c r="M38" s="21" t="s">
        <v>185</v>
      </c>
    </row>
    <row r="39" spans="1:13" x14ac:dyDescent="0.3">
      <c r="A39" s="33" t="s">
        <v>179</v>
      </c>
      <c r="B39" s="21" t="s">
        <v>180</v>
      </c>
      <c r="C39" s="21">
        <v>2018</v>
      </c>
      <c r="D39" s="21" t="s">
        <v>183</v>
      </c>
      <c r="E39" s="21" t="s">
        <v>190</v>
      </c>
      <c r="F39" s="21">
        <v>2026</v>
      </c>
      <c r="G39" s="21" t="s">
        <v>191</v>
      </c>
      <c r="H39" s="34">
        <v>145000</v>
      </c>
      <c r="I39" s="21">
        <v>3</v>
      </c>
      <c r="J39" s="34">
        <f>J38-H39</f>
        <v>9855000</v>
      </c>
      <c r="K39" s="21" t="s">
        <v>185</v>
      </c>
      <c r="L39" s="36">
        <v>3.02</v>
      </c>
      <c r="M39" s="21">
        <v>99.855000000000004</v>
      </c>
    </row>
    <row r="40" spans="1:13" x14ac:dyDescent="0.3">
      <c r="A40" s="33" t="s">
        <v>179</v>
      </c>
      <c r="B40" s="21" t="s">
        <v>180</v>
      </c>
      <c r="C40" s="21">
        <v>2018</v>
      </c>
      <c r="D40" s="21" t="s">
        <v>183</v>
      </c>
      <c r="E40" s="21" t="s">
        <v>190</v>
      </c>
      <c r="F40" s="21">
        <v>2027</v>
      </c>
      <c r="G40" s="21" t="s">
        <v>191</v>
      </c>
      <c r="H40" s="34">
        <v>610000</v>
      </c>
      <c r="I40" s="21">
        <v>3</v>
      </c>
      <c r="J40" s="34">
        <f t="shared" ref="J40:J52" si="1">J39-H40</f>
        <v>9245000</v>
      </c>
      <c r="K40" s="21" t="s">
        <v>185</v>
      </c>
      <c r="L40" s="36">
        <v>3.15</v>
      </c>
      <c r="M40" s="21">
        <v>98.82</v>
      </c>
    </row>
    <row r="41" spans="1:13" x14ac:dyDescent="0.3">
      <c r="A41" s="33" t="s">
        <v>179</v>
      </c>
      <c r="B41" s="21" t="s">
        <v>180</v>
      </c>
      <c r="C41" s="21">
        <v>2018</v>
      </c>
      <c r="D41" s="21" t="s">
        <v>183</v>
      </c>
      <c r="E41" s="21" t="s">
        <v>190</v>
      </c>
      <c r="F41" s="21">
        <v>2028</v>
      </c>
      <c r="G41" s="21" t="s">
        <v>191</v>
      </c>
      <c r="H41" s="34">
        <v>625000</v>
      </c>
      <c r="I41" s="21">
        <v>3</v>
      </c>
      <c r="J41" s="34">
        <f t="shared" si="1"/>
        <v>8620000</v>
      </c>
      <c r="K41" s="21" t="s">
        <v>185</v>
      </c>
      <c r="L41" s="36">
        <v>3.23</v>
      </c>
      <c r="M41" s="21">
        <v>98.03</v>
      </c>
    </row>
    <row r="42" spans="1:13" x14ac:dyDescent="0.3">
      <c r="A42" s="33" t="s">
        <v>179</v>
      </c>
      <c r="B42" s="21" t="s">
        <v>180</v>
      </c>
      <c r="C42" s="21">
        <v>2018</v>
      </c>
      <c r="D42" s="21" t="s">
        <v>183</v>
      </c>
      <c r="E42" s="21" t="s">
        <v>190</v>
      </c>
      <c r="F42" s="21">
        <v>2029</v>
      </c>
      <c r="G42" s="21" t="s">
        <v>191</v>
      </c>
      <c r="H42" s="34">
        <v>650000</v>
      </c>
      <c r="I42" s="21">
        <v>3.125</v>
      </c>
      <c r="J42" s="34">
        <f t="shared" si="1"/>
        <v>7970000</v>
      </c>
      <c r="K42" s="21" t="s">
        <v>185</v>
      </c>
      <c r="L42" s="36">
        <v>3.33</v>
      </c>
      <c r="M42" s="21">
        <v>98.108999999999995</v>
      </c>
    </row>
    <row r="43" spans="1:13" x14ac:dyDescent="0.3">
      <c r="A43" s="33" t="s">
        <v>179</v>
      </c>
      <c r="B43" s="21" t="s">
        <v>180</v>
      </c>
      <c r="C43" s="21">
        <v>2018</v>
      </c>
      <c r="D43" s="21" t="s">
        <v>183</v>
      </c>
      <c r="E43" s="21" t="s">
        <v>190</v>
      </c>
      <c r="F43" s="21">
        <v>2030</v>
      </c>
      <c r="G43" s="21" t="s">
        <v>191</v>
      </c>
      <c r="H43" s="34">
        <v>670000</v>
      </c>
      <c r="I43" s="21">
        <v>4</v>
      </c>
      <c r="J43" s="34">
        <f t="shared" si="1"/>
        <v>7300000</v>
      </c>
      <c r="K43" s="21" t="s">
        <v>185</v>
      </c>
      <c r="L43" s="36">
        <v>3.16</v>
      </c>
      <c r="M43" s="21">
        <v>103.92100000000001</v>
      </c>
    </row>
    <row r="44" spans="1:13" x14ac:dyDescent="0.3">
      <c r="A44" s="33" t="s">
        <v>179</v>
      </c>
      <c r="B44" s="21" t="s">
        <v>180</v>
      </c>
      <c r="C44" s="21">
        <v>2018</v>
      </c>
      <c r="D44" s="21" t="s">
        <v>183</v>
      </c>
      <c r="E44" s="21" t="s">
        <v>190</v>
      </c>
      <c r="F44" s="21">
        <v>2031</v>
      </c>
      <c r="G44" s="21" t="s">
        <v>191</v>
      </c>
      <c r="H44" s="21">
        <v>695000</v>
      </c>
      <c r="I44" s="21">
        <v>4</v>
      </c>
      <c r="J44" s="34">
        <f t="shared" si="1"/>
        <v>6605000</v>
      </c>
      <c r="K44" s="21" t="s">
        <v>185</v>
      </c>
      <c r="L44" s="36">
        <v>3.26</v>
      </c>
      <c r="M44" s="21">
        <v>103.44499999999999</v>
      </c>
    </row>
    <row r="45" spans="1:13" x14ac:dyDescent="0.3">
      <c r="A45" s="33" t="s">
        <v>179</v>
      </c>
      <c r="B45" s="21" t="s">
        <v>180</v>
      </c>
      <c r="C45" s="21">
        <v>2018</v>
      </c>
      <c r="D45" s="21" t="s">
        <v>183</v>
      </c>
      <c r="E45" s="21" t="s">
        <v>190</v>
      </c>
      <c r="F45" s="21">
        <v>2032</v>
      </c>
      <c r="G45" s="21" t="s">
        <v>191</v>
      </c>
      <c r="H45" s="21">
        <v>720000</v>
      </c>
      <c r="I45" s="21">
        <v>4</v>
      </c>
      <c r="J45" s="34">
        <f t="shared" si="1"/>
        <v>5885000</v>
      </c>
      <c r="K45" s="21" t="s">
        <v>185</v>
      </c>
      <c r="L45" s="36">
        <v>3.31</v>
      </c>
      <c r="M45" s="21">
        <v>103.20699999999999</v>
      </c>
    </row>
    <row r="46" spans="1:13" x14ac:dyDescent="0.3">
      <c r="A46" s="33" t="s">
        <v>179</v>
      </c>
      <c r="B46" s="21" t="s">
        <v>180</v>
      </c>
      <c r="C46" s="21">
        <v>2018</v>
      </c>
      <c r="D46" s="21" t="s">
        <v>183</v>
      </c>
      <c r="E46" s="21" t="s">
        <v>190</v>
      </c>
      <c r="F46" s="21">
        <v>2033</v>
      </c>
      <c r="G46" s="21" t="s">
        <v>191</v>
      </c>
      <c r="H46" s="34">
        <v>750000</v>
      </c>
      <c r="I46" s="21">
        <v>4</v>
      </c>
      <c r="J46" s="34">
        <f t="shared" si="1"/>
        <v>5135000</v>
      </c>
      <c r="K46" s="21" t="s">
        <v>185</v>
      </c>
      <c r="L46" s="36">
        <v>3.36</v>
      </c>
      <c r="M46" s="21">
        <v>102.971</v>
      </c>
    </row>
    <row r="47" spans="1:13" x14ac:dyDescent="0.3">
      <c r="A47" s="33" t="s">
        <v>179</v>
      </c>
      <c r="B47" s="21" t="s">
        <v>180</v>
      </c>
      <c r="C47" s="21">
        <v>2018</v>
      </c>
      <c r="D47" s="21" t="s">
        <v>183</v>
      </c>
      <c r="E47" s="21" t="s">
        <v>190</v>
      </c>
      <c r="F47" s="21">
        <v>2034</v>
      </c>
      <c r="G47" s="21" t="s">
        <v>191</v>
      </c>
      <c r="H47" s="34">
        <v>780000</v>
      </c>
      <c r="I47" s="21">
        <v>3.625</v>
      </c>
      <c r="J47" s="34">
        <f t="shared" si="1"/>
        <v>4355000</v>
      </c>
      <c r="K47" s="21" t="s">
        <v>185</v>
      </c>
      <c r="L47" s="36">
        <v>3.72</v>
      </c>
      <c r="M47" s="21">
        <v>98.853999999999999</v>
      </c>
    </row>
    <row r="48" spans="1:13" x14ac:dyDescent="0.3">
      <c r="A48" s="33" t="s">
        <v>179</v>
      </c>
      <c r="B48" s="21" t="s">
        <v>180</v>
      </c>
      <c r="C48" s="21">
        <v>2018</v>
      </c>
      <c r="D48" s="21" t="s">
        <v>183</v>
      </c>
      <c r="E48" s="21" t="s">
        <v>190</v>
      </c>
      <c r="F48" s="21">
        <v>2035</v>
      </c>
      <c r="G48" s="21" t="s">
        <v>191</v>
      </c>
      <c r="H48" s="34">
        <v>810000</v>
      </c>
      <c r="I48" s="21">
        <v>3.625</v>
      </c>
      <c r="J48" s="34">
        <f t="shared" si="1"/>
        <v>3545000</v>
      </c>
      <c r="K48" s="21" t="s">
        <v>185</v>
      </c>
      <c r="L48" s="36">
        <v>3.8</v>
      </c>
      <c r="M48" s="21">
        <v>97.811000000000007</v>
      </c>
    </row>
    <row r="49" spans="1:13" x14ac:dyDescent="0.3">
      <c r="A49" s="33" t="s">
        <v>179</v>
      </c>
      <c r="B49" s="21" t="s">
        <v>180</v>
      </c>
      <c r="C49" s="21">
        <v>2018</v>
      </c>
      <c r="D49" s="21" t="s">
        <v>183</v>
      </c>
      <c r="E49" s="21" t="s">
        <v>190</v>
      </c>
      <c r="F49" s="21">
        <v>2036</v>
      </c>
      <c r="G49" s="21" t="s">
        <v>191</v>
      </c>
      <c r="H49" s="34">
        <v>840000</v>
      </c>
      <c r="I49" s="21">
        <v>3.625</v>
      </c>
      <c r="J49" s="34">
        <f t="shared" si="1"/>
        <v>2705000</v>
      </c>
      <c r="K49" s="21" t="s">
        <v>185</v>
      </c>
      <c r="L49" s="36">
        <v>3.86</v>
      </c>
      <c r="M49" s="21">
        <v>96.956999999999994</v>
      </c>
    </row>
    <row r="50" spans="1:13" x14ac:dyDescent="0.3">
      <c r="A50" s="33" t="s">
        <v>179</v>
      </c>
      <c r="B50" s="21" t="s">
        <v>180</v>
      </c>
      <c r="C50" s="21">
        <v>2018</v>
      </c>
      <c r="D50" s="21" t="s">
        <v>183</v>
      </c>
      <c r="E50" s="21" t="s">
        <v>190</v>
      </c>
      <c r="F50" s="21">
        <v>2037</v>
      </c>
      <c r="G50" s="21" t="s">
        <v>191</v>
      </c>
      <c r="H50" s="34">
        <v>870000</v>
      </c>
      <c r="I50" s="21">
        <v>3.75</v>
      </c>
      <c r="J50" s="34">
        <f t="shared" si="1"/>
        <v>1835000</v>
      </c>
      <c r="K50" s="21" t="s">
        <v>185</v>
      </c>
      <c r="L50" s="36">
        <v>3.92</v>
      </c>
      <c r="M50" s="21">
        <v>97.725999999999999</v>
      </c>
    </row>
    <row r="51" spans="1:13" x14ac:dyDescent="0.3">
      <c r="A51" s="33" t="s">
        <v>179</v>
      </c>
      <c r="B51" s="21" t="s">
        <v>180</v>
      </c>
      <c r="C51" s="21">
        <v>2018</v>
      </c>
      <c r="D51" s="21" t="s">
        <v>183</v>
      </c>
      <c r="E51" s="21" t="s">
        <v>190</v>
      </c>
      <c r="F51" s="21">
        <v>2038</v>
      </c>
      <c r="G51" s="21" t="s">
        <v>191</v>
      </c>
      <c r="H51" s="34">
        <v>900000</v>
      </c>
      <c r="I51" s="21">
        <v>3.75</v>
      </c>
      <c r="J51" s="34">
        <f t="shared" si="1"/>
        <v>935000</v>
      </c>
      <c r="K51" s="21" t="s">
        <v>185</v>
      </c>
      <c r="L51" s="36">
        <v>3.97</v>
      </c>
      <c r="M51" s="21">
        <v>96.97</v>
      </c>
    </row>
    <row r="52" spans="1:13" x14ac:dyDescent="0.3">
      <c r="A52" s="33" t="s">
        <v>179</v>
      </c>
      <c r="B52" s="21" t="s">
        <v>180</v>
      </c>
      <c r="C52" s="21">
        <v>2018</v>
      </c>
      <c r="D52" s="21" t="s">
        <v>183</v>
      </c>
      <c r="E52" s="21" t="s">
        <v>190</v>
      </c>
      <c r="F52" s="21">
        <v>2039</v>
      </c>
      <c r="G52" s="21" t="s">
        <v>191</v>
      </c>
      <c r="H52" s="21">
        <v>935000</v>
      </c>
      <c r="I52" s="21">
        <v>3.75</v>
      </c>
      <c r="J52" s="34">
        <f t="shared" si="1"/>
        <v>0</v>
      </c>
      <c r="K52" s="21" t="s">
        <v>185</v>
      </c>
      <c r="L52" s="36">
        <v>4</v>
      </c>
      <c r="M52" s="21">
        <v>96.456999999999994</v>
      </c>
    </row>
    <row r="53" spans="1:13" x14ac:dyDescent="0.3">
      <c r="A53" s="33" t="s">
        <v>179</v>
      </c>
      <c r="B53" s="21" t="s">
        <v>180</v>
      </c>
      <c r="C53" s="21">
        <v>2017</v>
      </c>
      <c r="D53" s="21" t="s">
        <v>183</v>
      </c>
      <c r="E53" s="21" t="s">
        <v>190</v>
      </c>
      <c r="F53" s="21">
        <v>2018</v>
      </c>
      <c r="G53" s="21" t="s">
        <v>191</v>
      </c>
      <c r="H53" s="21">
        <v>185000</v>
      </c>
      <c r="I53" s="21">
        <v>1.08</v>
      </c>
      <c r="J53" s="21">
        <f>7020000-H53</f>
        <v>6835000</v>
      </c>
      <c r="K53" s="21">
        <f>81530.26*2</f>
        <v>163060.51999999999</v>
      </c>
      <c r="L53" s="36">
        <v>1.08</v>
      </c>
      <c r="M53" s="45">
        <v>100</v>
      </c>
    </row>
    <row r="54" spans="1:13" x14ac:dyDescent="0.3">
      <c r="A54" s="33" t="s">
        <v>179</v>
      </c>
      <c r="B54" s="21" t="s">
        <v>180</v>
      </c>
      <c r="C54" s="21">
        <v>2017</v>
      </c>
      <c r="D54" s="21" t="s">
        <v>183</v>
      </c>
      <c r="E54" s="21" t="s">
        <v>190</v>
      </c>
      <c r="F54" s="21">
        <v>2019</v>
      </c>
      <c r="G54" s="21" t="s">
        <v>191</v>
      </c>
      <c r="H54" s="21">
        <v>900000</v>
      </c>
      <c r="I54" s="21">
        <v>1.25</v>
      </c>
      <c r="J54" s="21">
        <f>J53-H54</f>
        <v>5935000</v>
      </c>
      <c r="K54" s="21">
        <f>80531.26*2</f>
        <v>161062.51999999999</v>
      </c>
      <c r="L54" s="36">
        <v>1.25</v>
      </c>
      <c r="M54" s="45">
        <v>100</v>
      </c>
    </row>
    <row r="55" spans="1:13" x14ac:dyDescent="0.3">
      <c r="A55" s="33" t="s">
        <v>179</v>
      </c>
      <c r="B55" s="21" t="s">
        <v>180</v>
      </c>
      <c r="C55" s="21">
        <v>2017</v>
      </c>
      <c r="D55" s="21" t="s">
        <v>183</v>
      </c>
      <c r="E55" s="21" t="s">
        <v>190</v>
      </c>
      <c r="F55" s="21">
        <v>2020</v>
      </c>
      <c r="G55" s="21" t="s">
        <v>355</v>
      </c>
      <c r="H55" s="21">
        <v>250000</v>
      </c>
      <c r="I55" s="21">
        <v>1.5</v>
      </c>
      <c r="J55" s="21">
        <f t="shared" ref="J55:J64" si="2">J54-H55</f>
        <v>5685000</v>
      </c>
      <c r="L55" s="36">
        <v>1.4</v>
      </c>
      <c r="M55" s="45">
        <v>100.292</v>
      </c>
    </row>
    <row r="56" spans="1:13" x14ac:dyDescent="0.3">
      <c r="A56" s="33" t="s">
        <v>179</v>
      </c>
      <c r="B56" s="21" t="s">
        <v>180</v>
      </c>
      <c r="C56" s="21">
        <v>2017</v>
      </c>
      <c r="D56" s="21" t="s">
        <v>183</v>
      </c>
      <c r="E56" s="21" t="s">
        <v>190</v>
      </c>
      <c r="F56" s="21">
        <v>2020</v>
      </c>
      <c r="G56" s="21" t="s">
        <v>191</v>
      </c>
      <c r="H56" s="21">
        <v>660000</v>
      </c>
      <c r="I56" s="21">
        <v>3</v>
      </c>
      <c r="J56" s="21">
        <f t="shared" si="2"/>
        <v>5025000</v>
      </c>
      <c r="K56" s="21">
        <f>74906.26*2</f>
        <v>149812.51999999999</v>
      </c>
      <c r="L56" s="36">
        <v>1.4</v>
      </c>
      <c r="M56" s="45">
        <v>104.684</v>
      </c>
    </row>
    <row r="57" spans="1:13" x14ac:dyDescent="0.3">
      <c r="A57" s="33" t="s">
        <v>179</v>
      </c>
      <c r="B57" s="21" t="s">
        <v>180</v>
      </c>
      <c r="C57" s="21">
        <v>2017</v>
      </c>
      <c r="D57" s="21" t="s">
        <v>183</v>
      </c>
      <c r="E57" s="21" t="s">
        <v>190</v>
      </c>
      <c r="F57" s="21">
        <v>2021</v>
      </c>
      <c r="G57" s="21" t="s">
        <v>355</v>
      </c>
      <c r="H57" s="21">
        <v>270000</v>
      </c>
      <c r="I57" s="21">
        <v>2</v>
      </c>
      <c r="J57" s="21">
        <f t="shared" si="2"/>
        <v>4755000</v>
      </c>
      <c r="L57" s="36">
        <v>1.55</v>
      </c>
      <c r="M57" s="45">
        <v>101.738</v>
      </c>
    </row>
    <row r="58" spans="1:13" x14ac:dyDescent="0.3">
      <c r="A58" s="33" t="s">
        <v>179</v>
      </c>
      <c r="B58" s="21" t="s">
        <v>180</v>
      </c>
      <c r="C58" s="21">
        <v>2017</v>
      </c>
      <c r="D58" s="21" t="s">
        <v>183</v>
      </c>
      <c r="E58" s="21" t="s">
        <v>190</v>
      </c>
      <c r="F58" s="21">
        <v>2021</v>
      </c>
      <c r="G58" s="21" t="s">
        <v>191</v>
      </c>
      <c r="H58" s="21">
        <v>665000</v>
      </c>
      <c r="I58" s="21">
        <v>4</v>
      </c>
      <c r="J58" s="21">
        <f t="shared" si="2"/>
        <v>4090000</v>
      </c>
      <c r="K58" s="21">
        <f>63131.26*2</f>
        <v>126262.52</v>
      </c>
      <c r="L58" s="36">
        <v>1.55</v>
      </c>
      <c r="M58" s="45">
        <v>109.46599999999999</v>
      </c>
    </row>
    <row r="59" spans="1:13" x14ac:dyDescent="0.3">
      <c r="A59" s="33" t="s">
        <v>179</v>
      </c>
      <c r="B59" s="21" t="s">
        <v>180</v>
      </c>
      <c r="C59" s="21">
        <v>2017</v>
      </c>
      <c r="D59" s="21" t="s">
        <v>183</v>
      </c>
      <c r="E59" s="21" t="s">
        <v>190</v>
      </c>
      <c r="F59" s="21">
        <v>2022</v>
      </c>
      <c r="G59" s="21" t="s">
        <v>355</v>
      </c>
      <c r="H59" s="21">
        <v>450000</v>
      </c>
      <c r="I59" s="21">
        <v>2</v>
      </c>
      <c r="J59" s="21">
        <f t="shared" si="2"/>
        <v>3640000</v>
      </c>
      <c r="L59" s="36">
        <v>1.8</v>
      </c>
      <c r="M59" s="45">
        <v>100.952</v>
      </c>
    </row>
    <row r="60" spans="1:13" x14ac:dyDescent="0.3">
      <c r="A60" s="33" t="s">
        <v>179</v>
      </c>
      <c r="B60" s="21" t="s">
        <v>180</v>
      </c>
      <c r="C60" s="21">
        <v>2017</v>
      </c>
      <c r="D60" s="21" t="s">
        <v>183</v>
      </c>
      <c r="E60" s="21" t="s">
        <v>190</v>
      </c>
      <c r="F60" s="21">
        <v>2022</v>
      </c>
      <c r="G60" s="21" t="s">
        <v>191</v>
      </c>
      <c r="H60" s="21">
        <v>510000</v>
      </c>
      <c r="I60" s="21">
        <v>4</v>
      </c>
      <c r="J60" s="21">
        <f t="shared" si="2"/>
        <v>3130000</v>
      </c>
      <c r="K60" s="21">
        <f>47131.26*2</f>
        <v>94262.52</v>
      </c>
      <c r="L60" s="36">
        <v>1.8</v>
      </c>
      <c r="M60" s="45">
        <v>110.474</v>
      </c>
    </row>
    <row r="61" spans="1:13" x14ac:dyDescent="0.3">
      <c r="A61" s="33" t="s">
        <v>179</v>
      </c>
      <c r="B61" s="21" t="s">
        <v>180</v>
      </c>
      <c r="C61" s="21">
        <v>2017</v>
      </c>
      <c r="D61" s="21" t="s">
        <v>183</v>
      </c>
      <c r="E61" s="21" t="s">
        <v>190</v>
      </c>
      <c r="F61" s="21">
        <v>2023</v>
      </c>
      <c r="G61" s="21" t="s">
        <v>191</v>
      </c>
      <c r="H61" s="21">
        <v>880000</v>
      </c>
      <c r="I61" s="21">
        <v>2</v>
      </c>
      <c r="J61" s="21">
        <f t="shared" si="2"/>
        <v>2250000</v>
      </c>
      <c r="K61" s="21">
        <f>32431.26*2</f>
        <v>64862.52</v>
      </c>
      <c r="L61" s="36">
        <v>2</v>
      </c>
      <c r="M61" s="45">
        <v>100</v>
      </c>
    </row>
    <row r="62" spans="1:13" x14ac:dyDescent="0.3">
      <c r="A62" s="33" t="s">
        <v>179</v>
      </c>
      <c r="B62" s="21" t="s">
        <v>180</v>
      </c>
      <c r="C62" s="21">
        <v>2017</v>
      </c>
      <c r="D62" s="21" t="s">
        <v>183</v>
      </c>
      <c r="E62" s="21" t="s">
        <v>190</v>
      </c>
      <c r="F62" s="21">
        <v>2024</v>
      </c>
      <c r="G62" s="21" t="s">
        <v>191</v>
      </c>
      <c r="H62" s="21">
        <v>890000</v>
      </c>
      <c r="I62" s="21">
        <v>2</v>
      </c>
      <c r="J62" s="21">
        <f t="shared" si="2"/>
        <v>1360000</v>
      </c>
      <c r="K62" s="21">
        <f>23631.26*2</f>
        <v>47262.52</v>
      </c>
      <c r="L62" s="36">
        <v>2.1800000000000002</v>
      </c>
      <c r="M62" s="45">
        <v>98.837000000000003</v>
      </c>
    </row>
    <row r="63" spans="1:13" x14ac:dyDescent="0.3">
      <c r="A63" s="33" t="s">
        <v>179</v>
      </c>
      <c r="B63" s="21" t="s">
        <v>180</v>
      </c>
      <c r="C63" s="21">
        <v>2017</v>
      </c>
      <c r="D63" s="21" t="s">
        <v>183</v>
      </c>
      <c r="E63" s="21" t="s">
        <v>190</v>
      </c>
      <c r="F63" s="21">
        <v>2025</v>
      </c>
      <c r="G63" s="21" t="s">
        <v>191</v>
      </c>
      <c r="H63" s="21">
        <v>910000</v>
      </c>
      <c r="I63" s="21">
        <v>2.125</v>
      </c>
      <c r="J63" s="21">
        <f t="shared" si="2"/>
        <v>450000</v>
      </c>
      <c r="K63" s="21">
        <f>14731.26*2</f>
        <v>29462.52</v>
      </c>
      <c r="L63" s="36">
        <v>2.33</v>
      </c>
      <c r="M63" s="45">
        <v>98.510999999999996</v>
      </c>
    </row>
    <row r="64" spans="1:13" x14ac:dyDescent="0.3">
      <c r="A64" s="33" t="s">
        <v>179</v>
      </c>
      <c r="B64" s="21" t="s">
        <v>180</v>
      </c>
      <c r="C64" s="21">
        <v>2017</v>
      </c>
      <c r="D64" s="21" t="s">
        <v>183</v>
      </c>
      <c r="E64" s="21" t="s">
        <v>190</v>
      </c>
      <c r="F64" s="21">
        <v>2026</v>
      </c>
      <c r="G64" s="21" t="s">
        <v>355</v>
      </c>
      <c r="H64" s="21">
        <v>450000</v>
      </c>
      <c r="I64" s="21">
        <v>2.25</v>
      </c>
      <c r="J64" s="21">
        <f t="shared" si="2"/>
        <v>0</v>
      </c>
      <c r="K64" s="21">
        <v>5062.5</v>
      </c>
      <c r="L64" s="36">
        <v>2.4300000000000002</v>
      </c>
      <c r="M64" s="45">
        <v>98.625</v>
      </c>
    </row>
    <row r="65" spans="1:13" x14ac:dyDescent="0.3">
      <c r="A65" s="21" t="s">
        <v>179</v>
      </c>
      <c r="B65" s="21" t="s">
        <v>180</v>
      </c>
      <c r="C65" s="37">
        <v>2003</v>
      </c>
      <c r="D65" s="21" t="s">
        <v>183</v>
      </c>
      <c r="E65" s="21" t="s">
        <v>190</v>
      </c>
      <c r="F65" s="21">
        <v>2003</v>
      </c>
      <c r="G65" s="21" t="s">
        <v>191</v>
      </c>
      <c r="H65" s="34">
        <v>385000</v>
      </c>
      <c r="I65" s="21">
        <v>1.1000000000000001</v>
      </c>
      <c r="J65" s="34">
        <f>6645000-H65</f>
        <v>6260000</v>
      </c>
      <c r="K65" s="38">
        <v>55224.38</v>
      </c>
      <c r="L65" s="36" t="s">
        <v>185</v>
      </c>
      <c r="M65" s="45">
        <v>100</v>
      </c>
    </row>
    <row r="66" spans="1:13" x14ac:dyDescent="0.3">
      <c r="A66" s="21" t="s">
        <v>179</v>
      </c>
      <c r="B66" s="21" t="s">
        <v>180</v>
      </c>
      <c r="C66" s="37">
        <v>2003</v>
      </c>
      <c r="D66" s="21" t="s">
        <v>183</v>
      </c>
      <c r="E66" s="21" t="s">
        <v>190</v>
      </c>
      <c r="F66" s="21">
        <v>2004</v>
      </c>
      <c r="G66" s="21" t="s">
        <v>191</v>
      </c>
      <c r="H66" s="21">
        <v>370000</v>
      </c>
      <c r="I66" s="21">
        <v>1.25</v>
      </c>
      <c r="J66" s="34">
        <f>J65-H66</f>
        <v>5890000</v>
      </c>
      <c r="K66" s="21">
        <f>108331.25+107175</f>
        <v>215506.25</v>
      </c>
      <c r="L66" s="36" t="s">
        <v>185</v>
      </c>
      <c r="M66" s="21">
        <v>99.76</v>
      </c>
    </row>
    <row r="67" spans="1:13" x14ac:dyDescent="0.3">
      <c r="A67" s="21" t="s">
        <v>179</v>
      </c>
      <c r="B67" s="21" t="s">
        <v>180</v>
      </c>
      <c r="C67" s="37">
        <v>2003</v>
      </c>
      <c r="D67" s="21" t="s">
        <v>183</v>
      </c>
      <c r="E67" s="21" t="s">
        <v>190</v>
      </c>
      <c r="F67" s="21">
        <v>2005</v>
      </c>
      <c r="G67" s="21" t="s">
        <v>191</v>
      </c>
      <c r="H67" s="21">
        <v>380000</v>
      </c>
      <c r="I67" s="21">
        <v>1.55</v>
      </c>
      <c r="J67" s="34">
        <f t="shared" ref="J67:J79" si="3">J66-H67</f>
        <v>5510000</v>
      </c>
      <c r="K67" s="21">
        <f>106018.75+104546.25</f>
        <v>210565</v>
      </c>
      <c r="L67" s="36" t="s">
        <v>185</v>
      </c>
      <c r="M67" s="21">
        <v>99.566999999999993</v>
      </c>
    </row>
    <row r="68" spans="1:13" x14ac:dyDescent="0.3">
      <c r="A68" s="21" t="s">
        <v>179</v>
      </c>
      <c r="B68" s="21" t="s">
        <v>180</v>
      </c>
      <c r="C68" s="37">
        <v>2003</v>
      </c>
      <c r="D68" s="21" t="s">
        <v>183</v>
      </c>
      <c r="E68" s="21" t="s">
        <v>190</v>
      </c>
      <c r="F68" s="21">
        <v>2006</v>
      </c>
      <c r="G68" s="21" t="s">
        <v>191</v>
      </c>
      <c r="H68" s="21">
        <v>385000</v>
      </c>
      <c r="I68" s="21">
        <v>2.1</v>
      </c>
      <c r="J68" s="34">
        <f t="shared" si="3"/>
        <v>5125000</v>
      </c>
      <c r="K68" s="21">
        <f>103073.75+101078.75</f>
        <v>204152.5</v>
      </c>
      <c r="L68" s="36" t="s">
        <v>185</v>
      </c>
      <c r="M68" s="21">
        <v>99.69</v>
      </c>
    </row>
    <row r="69" spans="1:13" x14ac:dyDescent="0.3">
      <c r="A69" s="21" t="s">
        <v>179</v>
      </c>
      <c r="B69" s="21" t="s">
        <v>180</v>
      </c>
      <c r="C69" s="37">
        <v>2003</v>
      </c>
      <c r="D69" s="21" t="s">
        <v>183</v>
      </c>
      <c r="E69" s="21" t="s">
        <v>190</v>
      </c>
      <c r="F69" s="21">
        <v>2007</v>
      </c>
      <c r="G69" s="21" t="s">
        <v>191</v>
      </c>
      <c r="H69" s="21">
        <v>390000</v>
      </c>
      <c r="I69" s="21">
        <v>2.5</v>
      </c>
      <c r="J69" s="34">
        <f t="shared" si="3"/>
        <v>4735000</v>
      </c>
      <c r="K69" s="21">
        <f>99031.25+96593.75</f>
        <v>195625</v>
      </c>
      <c r="L69" s="36" t="s">
        <v>185</v>
      </c>
      <c r="M69" s="21">
        <v>99.403999999999996</v>
      </c>
    </row>
    <row r="70" spans="1:13" x14ac:dyDescent="0.3">
      <c r="A70" s="21" t="s">
        <v>179</v>
      </c>
      <c r="B70" s="21" t="s">
        <v>180</v>
      </c>
      <c r="C70" s="37">
        <v>2003</v>
      </c>
      <c r="D70" s="21" t="s">
        <v>183</v>
      </c>
      <c r="E70" s="21" t="s">
        <v>190</v>
      </c>
      <c r="F70" s="21">
        <v>2008</v>
      </c>
      <c r="G70" s="21" t="s">
        <v>191</v>
      </c>
      <c r="H70" s="21">
        <v>400000</v>
      </c>
      <c r="I70" s="21">
        <v>2.8</v>
      </c>
      <c r="J70" s="34">
        <f t="shared" si="3"/>
        <v>4335000</v>
      </c>
      <c r="K70" s="21">
        <f>94156.25+91356.25</f>
        <v>185512.5</v>
      </c>
      <c r="L70" s="36" t="s">
        <v>185</v>
      </c>
      <c r="M70" s="21">
        <v>99.039000000000001</v>
      </c>
    </row>
    <row r="71" spans="1:13" x14ac:dyDescent="0.3">
      <c r="A71" s="21" t="s">
        <v>179</v>
      </c>
      <c r="B71" s="21" t="s">
        <v>180</v>
      </c>
      <c r="C71" s="37">
        <v>2003</v>
      </c>
      <c r="D71" s="21" t="s">
        <v>183</v>
      </c>
      <c r="E71" s="21" t="s">
        <v>190</v>
      </c>
      <c r="F71" s="21">
        <v>2009</v>
      </c>
      <c r="G71" s="21" t="s">
        <v>191</v>
      </c>
      <c r="H71" s="21">
        <v>415000</v>
      </c>
      <c r="I71" s="21">
        <v>3.1</v>
      </c>
      <c r="J71" s="34">
        <f t="shared" si="3"/>
        <v>3920000</v>
      </c>
      <c r="K71" s="21">
        <f>88556.25+85378.75</f>
        <v>173935</v>
      </c>
      <c r="L71" s="36" t="s">
        <v>185</v>
      </c>
      <c r="M71" s="21">
        <v>98.881</v>
      </c>
    </row>
    <row r="72" spans="1:13" x14ac:dyDescent="0.3">
      <c r="A72" s="21" t="s">
        <v>179</v>
      </c>
      <c r="B72" s="21" t="s">
        <v>180</v>
      </c>
      <c r="C72" s="37">
        <v>2003</v>
      </c>
      <c r="D72" s="21" t="s">
        <v>183</v>
      </c>
      <c r="E72" s="21" t="s">
        <v>190</v>
      </c>
      <c r="F72" s="21">
        <v>2010</v>
      </c>
      <c r="G72" s="21" t="s">
        <v>191</v>
      </c>
      <c r="H72" s="21">
        <v>425000</v>
      </c>
      <c r="I72" s="21">
        <v>3.5</v>
      </c>
      <c r="J72" s="34">
        <f t="shared" si="3"/>
        <v>3495000</v>
      </c>
      <c r="K72" s="21">
        <f>82123.75+78448.75</f>
        <v>160572.5</v>
      </c>
      <c r="L72" s="36" t="s">
        <v>185</v>
      </c>
      <c r="M72" s="21">
        <v>99.052000000000007</v>
      </c>
    </row>
    <row r="73" spans="1:13" x14ac:dyDescent="0.3">
      <c r="A73" s="21" t="s">
        <v>179</v>
      </c>
      <c r="B73" s="21" t="s">
        <v>180</v>
      </c>
      <c r="C73" s="37">
        <v>2003</v>
      </c>
      <c r="D73" s="21" t="s">
        <v>183</v>
      </c>
      <c r="E73" s="21" t="s">
        <v>190</v>
      </c>
      <c r="F73" s="21">
        <v>2011</v>
      </c>
      <c r="G73" s="21" t="s">
        <v>191</v>
      </c>
      <c r="H73" s="21">
        <v>445000</v>
      </c>
      <c r="I73" s="21">
        <v>3.7</v>
      </c>
      <c r="J73" s="34">
        <f t="shared" si="3"/>
        <v>3050000</v>
      </c>
      <c r="K73" s="21">
        <f>74686.25+70616.25</f>
        <v>145302.5</v>
      </c>
      <c r="L73" s="36" t="s">
        <v>185</v>
      </c>
      <c r="M73" s="21">
        <v>98.947999999999993</v>
      </c>
    </row>
    <row r="74" spans="1:13" x14ac:dyDescent="0.3">
      <c r="A74" s="21" t="s">
        <v>179</v>
      </c>
      <c r="B74" s="21" t="s">
        <v>180</v>
      </c>
      <c r="C74" s="37">
        <v>2003</v>
      </c>
      <c r="D74" s="21" t="s">
        <v>183</v>
      </c>
      <c r="E74" s="21" t="s">
        <v>190</v>
      </c>
      <c r="F74" s="21">
        <v>2012</v>
      </c>
      <c r="G74" s="21" t="s">
        <v>191</v>
      </c>
      <c r="H74" s="21">
        <v>455000</v>
      </c>
      <c r="I74" s="21">
        <v>4</v>
      </c>
      <c r="J74" s="34">
        <f t="shared" si="3"/>
        <v>2595000</v>
      </c>
      <c r="K74" s="21">
        <f>66453.75+61953.75</f>
        <v>128407.5</v>
      </c>
      <c r="L74" s="36" t="s">
        <v>185</v>
      </c>
      <c r="M74" s="21">
        <v>99.233999999999995</v>
      </c>
    </row>
    <row r="75" spans="1:13" x14ac:dyDescent="0.3">
      <c r="A75" s="35" t="s">
        <v>179</v>
      </c>
      <c r="B75" s="35" t="s">
        <v>180</v>
      </c>
      <c r="C75" s="46">
        <v>2003</v>
      </c>
      <c r="D75" s="35" t="s">
        <v>183</v>
      </c>
      <c r="E75" s="35" t="s">
        <v>190</v>
      </c>
      <c r="F75" s="35">
        <v>2013</v>
      </c>
      <c r="G75" s="35" t="s">
        <v>191</v>
      </c>
      <c r="H75" s="35">
        <v>475000</v>
      </c>
      <c r="I75" s="35">
        <v>4.0999999999999996</v>
      </c>
      <c r="J75" s="35">
        <f t="shared" si="3"/>
        <v>2120000</v>
      </c>
      <c r="K75" s="35">
        <f>57353.75+52536.25</f>
        <v>109890</v>
      </c>
      <c r="L75" s="35" t="s">
        <v>185</v>
      </c>
      <c r="M75" s="35">
        <v>98.355000000000004</v>
      </c>
    </row>
    <row r="76" spans="1:13" x14ac:dyDescent="0.3">
      <c r="A76" s="35" t="s">
        <v>179</v>
      </c>
      <c r="B76" s="35" t="s">
        <v>180</v>
      </c>
      <c r="C76" s="46">
        <v>2003</v>
      </c>
      <c r="D76" s="35" t="s">
        <v>183</v>
      </c>
      <c r="E76" s="35" t="s">
        <v>190</v>
      </c>
      <c r="F76" s="35">
        <v>2014</v>
      </c>
      <c r="G76" s="35" t="s">
        <v>191</v>
      </c>
      <c r="H76" s="47">
        <v>495000</v>
      </c>
      <c r="I76" s="47">
        <v>4.3499999999999996</v>
      </c>
      <c r="J76" s="47">
        <f t="shared" si="3"/>
        <v>1625000</v>
      </c>
      <c r="K76" s="35">
        <f>47616.25+42287.5</f>
        <v>89903.75</v>
      </c>
      <c r="L76" s="35" t="s">
        <v>185</v>
      </c>
      <c r="M76" s="35">
        <v>98.683999999999997</v>
      </c>
    </row>
    <row r="77" spans="1:13" x14ac:dyDescent="0.3">
      <c r="A77" s="35" t="s">
        <v>179</v>
      </c>
      <c r="B77" s="35" t="s">
        <v>180</v>
      </c>
      <c r="C77" s="46">
        <v>2003</v>
      </c>
      <c r="D77" s="35" t="s">
        <v>183</v>
      </c>
      <c r="E77" s="35" t="s">
        <v>190</v>
      </c>
      <c r="F77" s="35">
        <v>2015</v>
      </c>
      <c r="G77" s="35" t="s">
        <v>191</v>
      </c>
      <c r="H77" s="47">
        <v>520000</v>
      </c>
      <c r="I77" s="47">
        <v>4.45</v>
      </c>
      <c r="J77" s="47">
        <f t="shared" si="3"/>
        <v>1105000</v>
      </c>
      <c r="K77" s="35">
        <f>36850+31176.25</f>
        <v>68026.25</v>
      </c>
      <c r="L77" s="35" t="s">
        <v>185</v>
      </c>
      <c r="M77" s="35">
        <v>98.603999999999999</v>
      </c>
    </row>
    <row r="78" spans="1:13" x14ac:dyDescent="0.3">
      <c r="A78" s="35" t="s">
        <v>179</v>
      </c>
      <c r="B78" s="35" t="s">
        <v>180</v>
      </c>
      <c r="C78" s="46">
        <v>2003</v>
      </c>
      <c r="D78" s="35" t="s">
        <v>183</v>
      </c>
      <c r="E78" s="35" t="s">
        <v>190</v>
      </c>
      <c r="F78" s="35">
        <v>2016</v>
      </c>
      <c r="G78" s="35" t="s">
        <v>191</v>
      </c>
      <c r="H78" s="47">
        <v>540000</v>
      </c>
      <c r="I78" s="47">
        <v>4.55</v>
      </c>
      <c r="J78" s="47">
        <f t="shared" si="3"/>
        <v>565000</v>
      </c>
      <c r="K78" s="35">
        <f>25280+19251.25</f>
        <v>44531.25</v>
      </c>
      <c r="L78" s="35" t="s">
        <v>185</v>
      </c>
      <c r="M78" s="35">
        <v>98.528999999999996</v>
      </c>
    </row>
    <row r="79" spans="1:13" x14ac:dyDescent="0.3">
      <c r="A79" s="35" t="s">
        <v>179</v>
      </c>
      <c r="B79" s="35" t="s">
        <v>180</v>
      </c>
      <c r="C79" s="46">
        <v>2003</v>
      </c>
      <c r="D79" s="35" t="s">
        <v>183</v>
      </c>
      <c r="E79" s="35" t="s">
        <v>190</v>
      </c>
      <c r="F79" s="35">
        <v>2017</v>
      </c>
      <c r="G79" s="35" t="s">
        <v>191</v>
      </c>
      <c r="H79" s="47">
        <v>565000</v>
      </c>
      <c r="I79" s="47">
        <v>4.5999999999999996</v>
      </c>
      <c r="J79" s="47">
        <f t="shared" si="3"/>
        <v>0</v>
      </c>
      <c r="K79" s="35">
        <f>12995+6555</f>
        <v>19550</v>
      </c>
      <c r="L79" s="35" t="s">
        <v>185</v>
      </c>
      <c r="M79" s="35">
        <v>97.95</v>
      </c>
    </row>
    <row r="80" spans="1:13" x14ac:dyDescent="0.3">
      <c r="A80" s="35" t="s">
        <v>179</v>
      </c>
      <c r="B80" s="35" t="s">
        <v>180</v>
      </c>
      <c r="C80" s="46">
        <v>1998</v>
      </c>
      <c r="D80" s="35" t="s">
        <v>183</v>
      </c>
      <c r="E80" s="35" t="s">
        <v>190</v>
      </c>
      <c r="F80" s="21">
        <v>1998</v>
      </c>
      <c r="G80" s="21" t="s">
        <v>191</v>
      </c>
      <c r="H80" s="21" t="s">
        <v>192</v>
      </c>
      <c r="K80" s="21">
        <v>25179.38</v>
      </c>
      <c r="L80" s="35" t="s">
        <v>185</v>
      </c>
    </row>
    <row r="81" spans="1:12" x14ac:dyDescent="0.3">
      <c r="A81" s="35" t="s">
        <v>179</v>
      </c>
      <c r="B81" s="35" t="s">
        <v>180</v>
      </c>
      <c r="C81" s="46">
        <v>1998</v>
      </c>
      <c r="D81" s="35" t="s">
        <v>183</v>
      </c>
      <c r="E81" s="35" t="s">
        <v>190</v>
      </c>
      <c r="F81" s="21">
        <v>1999</v>
      </c>
      <c r="G81" s="21" t="s">
        <v>191</v>
      </c>
      <c r="H81" s="21" t="s">
        <v>192</v>
      </c>
      <c r="K81" s="21">
        <v>100717.5</v>
      </c>
      <c r="L81" s="35" t="s">
        <v>185</v>
      </c>
    </row>
    <row r="82" spans="1:12" x14ac:dyDescent="0.3">
      <c r="A82" s="35" t="s">
        <v>179</v>
      </c>
      <c r="B82" s="35" t="s">
        <v>180</v>
      </c>
      <c r="C82" s="46">
        <v>1998</v>
      </c>
      <c r="D82" s="35" t="s">
        <v>183</v>
      </c>
      <c r="E82" s="35" t="s">
        <v>190</v>
      </c>
      <c r="F82" s="21">
        <v>2000</v>
      </c>
      <c r="G82" s="21" t="s">
        <v>191</v>
      </c>
      <c r="H82" s="21" t="s">
        <v>192</v>
      </c>
      <c r="K82" s="21">
        <v>100717.5</v>
      </c>
      <c r="L82" s="35" t="s">
        <v>185</v>
      </c>
    </row>
    <row r="83" spans="1:12" x14ac:dyDescent="0.3">
      <c r="A83" s="35" t="s">
        <v>179</v>
      </c>
      <c r="B83" s="35" t="s">
        <v>180</v>
      </c>
      <c r="C83" s="46">
        <v>1998</v>
      </c>
      <c r="D83" s="35" t="s">
        <v>183</v>
      </c>
      <c r="E83" s="35" t="s">
        <v>190</v>
      </c>
      <c r="F83" s="21">
        <v>2001</v>
      </c>
      <c r="G83" s="21" t="s">
        <v>191</v>
      </c>
      <c r="H83" s="21" t="s">
        <v>192</v>
      </c>
      <c r="K83" s="21">
        <v>100717.5</v>
      </c>
      <c r="L83" s="35" t="s">
        <v>185</v>
      </c>
    </row>
    <row r="84" spans="1:12" x14ac:dyDescent="0.3">
      <c r="A84" s="35" t="s">
        <v>179</v>
      </c>
      <c r="B84" s="35" t="s">
        <v>180</v>
      </c>
      <c r="C84" s="46">
        <v>1998</v>
      </c>
      <c r="D84" s="35" t="s">
        <v>183</v>
      </c>
      <c r="E84" s="35" t="s">
        <v>190</v>
      </c>
      <c r="F84" s="21">
        <v>2002</v>
      </c>
      <c r="G84" s="21" t="s">
        <v>191</v>
      </c>
      <c r="H84" s="21" t="s">
        <v>192</v>
      </c>
      <c r="K84" s="21">
        <v>100717.5</v>
      </c>
      <c r="L84" s="35" t="s">
        <v>185</v>
      </c>
    </row>
    <row r="85" spans="1:12" x14ac:dyDescent="0.3">
      <c r="A85" s="35" t="s">
        <v>179</v>
      </c>
      <c r="B85" s="35" t="s">
        <v>180</v>
      </c>
      <c r="C85" s="46">
        <v>1998</v>
      </c>
      <c r="D85" s="35" t="s">
        <v>183</v>
      </c>
      <c r="E85" s="35" t="s">
        <v>190</v>
      </c>
      <c r="F85" s="21">
        <v>2003</v>
      </c>
      <c r="G85" s="21" t="s">
        <v>191</v>
      </c>
      <c r="H85" s="21" t="s">
        <v>192</v>
      </c>
      <c r="K85" s="21">
        <v>100717.5</v>
      </c>
      <c r="L85" s="35" t="s">
        <v>185</v>
      </c>
    </row>
    <row r="86" spans="1:12" x14ac:dyDescent="0.3">
      <c r="A86" s="35" t="s">
        <v>179</v>
      </c>
      <c r="B86" s="35" t="s">
        <v>180</v>
      </c>
      <c r="C86" s="46">
        <v>1998</v>
      </c>
      <c r="D86" s="35" t="s">
        <v>183</v>
      </c>
      <c r="E86" s="35" t="s">
        <v>190</v>
      </c>
      <c r="F86" s="21">
        <v>2004</v>
      </c>
      <c r="G86" s="21" t="s">
        <v>191</v>
      </c>
      <c r="H86" s="21" t="s">
        <v>192</v>
      </c>
      <c r="K86" s="21">
        <v>100717.5</v>
      </c>
      <c r="L86" s="35" t="s">
        <v>185</v>
      </c>
    </row>
    <row r="87" spans="1:12" x14ac:dyDescent="0.3">
      <c r="A87" s="35" t="s">
        <v>179</v>
      </c>
      <c r="B87" s="35" t="s">
        <v>180</v>
      </c>
      <c r="C87" s="46">
        <v>1998</v>
      </c>
      <c r="D87" s="35" t="s">
        <v>183</v>
      </c>
      <c r="E87" s="35" t="s">
        <v>190</v>
      </c>
      <c r="F87" s="21">
        <v>2005</v>
      </c>
      <c r="G87" s="21" t="s">
        <v>191</v>
      </c>
      <c r="H87" s="21" t="s">
        <v>192</v>
      </c>
      <c r="K87" s="21">
        <v>100717.5</v>
      </c>
      <c r="L87" s="35" t="s">
        <v>185</v>
      </c>
    </row>
    <row r="88" spans="1:12" x14ac:dyDescent="0.3">
      <c r="A88" s="35" t="s">
        <v>179</v>
      </c>
      <c r="B88" s="35" t="s">
        <v>180</v>
      </c>
      <c r="C88" s="46">
        <v>1998</v>
      </c>
      <c r="D88" s="35" t="s">
        <v>183</v>
      </c>
      <c r="E88" s="35" t="s">
        <v>190</v>
      </c>
      <c r="F88" s="21">
        <v>2006</v>
      </c>
      <c r="G88" s="21" t="s">
        <v>191</v>
      </c>
      <c r="H88" s="21" t="s">
        <v>192</v>
      </c>
      <c r="K88" s="21">
        <v>100717.5</v>
      </c>
      <c r="L88" s="35" t="s">
        <v>185</v>
      </c>
    </row>
    <row r="89" spans="1:12" x14ac:dyDescent="0.3">
      <c r="A89" s="35" t="s">
        <v>179</v>
      </c>
      <c r="B89" s="35" t="s">
        <v>180</v>
      </c>
      <c r="C89" s="46">
        <v>1998</v>
      </c>
      <c r="D89" s="35" t="s">
        <v>183</v>
      </c>
      <c r="E89" s="35" t="s">
        <v>190</v>
      </c>
      <c r="F89" s="21">
        <v>2007</v>
      </c>
      <c r="G89" s="21" t="s">
        <v>191</v>
      </c>
      <c r="H89" s="21" t="s">
        <v>192</v>
      </c>
      <c r="K89" s="21">
        <v>100717.5</v>
      </c>
      <c r="L89" s="35" t="s">
        <v>185</v>
      </c>
    </row>
    <row r="90" spans="1:12" x14ac:dyDescent="0.3">
      <c r="A90" s="35" t="s">
        <v>179</v>
      </c>
      <c r="B90" s="35" t="s">
        <v>180</v>
      </c>
      <c r="C90" s="46">
        <v>1998</v>
      </c>
      <c r="D90" s="35" t="s">
        <v>183</v>
      </c>
      <c r="E90" s="35" t="s">
        <v>190</v>
      </c>
      <c r="F90" s="21">
        <v>2008</v>
      </c>
      <c r="G90" s="21" t="s">
        <v>191</v>
      </c>
      <c r="H90" s="21" t="s">
        <v>192</v>
      </c>
      <c r="K90" s="21">
        <v>100717.5</v>
      </c>
      <c r="L90" s="35" t="s">
        <v>185</v>
      </c>
    </row>
    <row r="91" spans="1:12" x14ac:dyDescent="0.3">
      <c r="A91" s="35" t="s">
        <v>179</v>
      </c>
      <c r="B91" s="35" t="s">
        <v>180</v>
      </c>
      <c r="C91" s="46">
        <v>1998</v>
      </c>
      <c r="D91" s="35" t="s">
        <v>183</v>
      </c>
      <c r="E91" s="35" t="s">
        <v>190</v>
      </c>
      <c r="F91" s="21">
        <v>2009</v>
      </c>
      <c r="G91" s="21" t="s">
        <v>191</v>
      </c>
      <c r="H91" s="21" t="s">
        <v>192</v>
      </c>
      <c r="K91" s="21">
        <v>100717.5</v>
      </c>
      <c r="L91" s="35" t="s">
        <v>185</v>
      </c>
    </row>
    <row r="92" spans="1:12" x14ac:dyDescent="0.3">
      <c r="A92" s="35" t="s">
        <v>179</v>
      </c>
      <c r="B92" s="35" t="s">
        <v>180</v>
      </c>
      <c r="C92" s="46">
        <v>1998</v>
      </c>
      <c r="D92" s="35" t="s">
        <v>183</v>
      </c>
      <c r="E92" s="35" t="s">
        <v>190</v>
      </c>
      <c r="F92" s="21">
        <v>2010</v>
      </c>
      <c r="G92" s="21" t="s">
        <v>191</v>
      </c>
      <c r="H92" s="21" t="s">
        <v>192</v>
      </c>
      <c r="K92" s="21">
        <v>100717.5</v>
      </c>
      <c r="L92" s="35" t="s">
        <v>185</v>
      </c>
    </row>
    <row r="93" spans="1:12" x14ac:dyDescent="0.3">
      <c r="A93" s="35" t="s">
        <v>179</v>
      </c>
      <c r="B93" s="35" t="s">
        <v>180</v>
      </c>
      <c r="C93" s="46">
        <v>1998</v>
      </c>
      <c r="D93" s="35" t="s">
        <v>183</v>
      </c>
      <c r="E93" s="35" t="s">
        <v>190</v>
      </c>
      <c r="F93" s="21">
        <v>2011</v>
      </c>
      <c r="G93" s="21" t="s">
        <v>191</v>
      </c>
      <c r="H93" s="21" t="s">
        <v>192</v>
      </c>
      <c r="K93" s="21">
        <v>100717.5</v>
      </c>
      <c r="L93" s="35" t="s">
        <v>185</v>
      </c>
    </row>
    <row r="94" spans="1:12" x14ac:dyDescent="0.3">
      <c r="A94" s="35" t="s">
        <v>179</v>
      </c>
      <c r="B94" s="35" t="s">
        <v>180</v>
      </c>
      <c r="C94" s="46">
        <v>1998</v>
      </c>
      <c r="D94" s="35" t="s">
        <v>183</v>
      </c>
      <c r="E94" s="35" t="s">
        <v>190</v>
      </c>
      <c r="F94" s="21">
        <v>2012</v>
      </c>
      <c r="G94" s="21" t="s">
        <v>191</v>
      </c>
      <c r="H94" s="21" t="s">
        <v>192</v>
      </c>
      <c r="K94" s="21">
        <v>100717.5</v>
      </c>
      <c r="L94" s="35" t="s">
        <v>185</v>
      </c>
    </row>
    <row r="95" spans="1:12" x14ac:dyDescent="0.3">
      <c r="A95" s="35" t="s">
        <v>179</v>
      </c>
      <c r="B95" s="35" t="s">
        <v>180</v>
      </c>
      <c r="C95" s="46">
        <v>1998</v>
      </c>
      <c r="D95" s="35" t="s">
        <v>183</v>
      </c>
      <c r="E95" s="35" t="s">
        <v>190</v>
      </c>
      <c r="F95" s="21">
        <v>2013</v>
      </c>
      <c r="G95" s="21" t="s">
        <v>191</v>
      </c>
      <c r="H95" s="21" t="s">
        <v>192</v>
      </c>
      <c r="K95" s="21">
        <v>100717.5</v>
      </c>
      <c r="L95" s="35" t="s">
        <v>185</v>
      </c>
    </row>
    <row r="96" spans="1:12" x14ac:dyDescent="0.3">
      <c r="A96" s="35" t="s">
        <v>179</v>
      </c>
      <c r="B96" s="35" t="s">
        <v>180</v>
      </c>
      <c r="C96" s="46">
        <v>1998</v>
      </c>
      <c r="D96" s="35" t="s">
        <v>183</v>
      </c>
      <c r="E96" s="35" t="s">
        <v>190</v>
      </c>
      <c r="F96" s="21">
        <v>2014</v>
      </c>
      <c r="G96" s="21" t="s">
        <v>191</v>
      </c>
      <c r="H96" s="21" t="s">
        <v>192</v>
      </c>
      <c r="K96" s="21">
        <v>100717.5</v>
      </c>
      <c r="L96" s="35" t="s">
        <v>185</v>
      </c>
    </row>
    <row r="97" spans="1:13" x14ac:dyDescent="0.3">
      <c r="A97" s="35" t="s">
        <v>179</v>
      </c>
      <c r="B97" s="35" t="s">
        <v>180</v>
      </c>
      <c r="C97" s="46">
        <v>1998</v>
      </c>
      <c r="D97" s="35" t="s">
        <v>183</v>
      </c>
      <c r="E97" s="35" t="s">
        <v>190</v>
      </c>
      <c r="F97" s="21">
        <v>2015</v>
      </c>
      <c r="G97" s="21" t="s">
        <v>191</v>
      </c>
      <c r="H97" s="21" t="s">
        <v>192</v>
      </c>
      <c r="K97" s="21">
        <v>100717.5</v>
      </c>
      <c r="L97" s="35" t="s">
        <v>185</v>
      </c>
    </row>
    <row r="98" spans="1:13" x14ac:dyDescent="0.3">
      <c r="A98" s="35" t="s">
        <v>179</v>
      </c>
      <c r="B98" s="35" t="s">
        <v>180</v>
      </c>
      <c r="C98" s="46">
        <v>1998</v>
      </c>
      <c r="D98" s="35" t="s">
        <v>183</v>
      </c>
      <c r="E98" s="35" t="s">
        <v>190</v>
      </c>
      <c r="F98" s="21">
        <v>2016</v>
      </c>
      <c r="G98" s="21" t="s">
        <v>191</v>
      </c>
      <c r="H98" s="21" t="s">
        <v>192</v>
      </c>
      <c r="K98" s="21">
        <v>100717.5</v>
      </c>
      <c r="L98" s="35" t="s">
        <v>185</v>
      </c>
    </row>
    <row r="99" spans="1:13" x14ac:dyDescent="0.3">
      <c r="A99" s="35" t="s">
        <v>179</v>
      </c>
      <c r="B99" s="35" t="s">
        <v>180</v>
      </c>
      <c r="C99" s="46">
        <v>1998</v>
      </c>
      <c r="D99" s="35" t="s">
        <v>183</v>
      </c>
      <c r="E99" s="35" t="s">
        <v>190</v>
      </c>
      <c r="F99" s="21">
        <v>2017</v>
      </c>
      <c r="G99" s="21" t="s">
        <v>191</v>
      </c>
      <c r="H99" s="21" t="s">
        <v>192</v>
      </c>
      <c r="K99" s="21">
        <v>100717.5</v>
      </c>
      <c r="L99" s="35" t="s">
        <v>185</v>
      </c>
    </row>
    <row r="100" spans="1:13" x14ac:dyDescent="0.3">
      <c r="A100" s="35" t="s">
        <v>179</v>
      </c>
      <c r="B100" s="35" t="s">
        <v>180</v>
      </c>
      <c r="C100" s="46">
        <v>1998</v>
      </c>
      <c r="D100" s="35" t="s">
        <v>183</v>
      </c>
      <c r="E100" s="35" t="s">
        <v>190</v>
      </c>
      <c r="F100" s="35">
        <v>2018</v>
      </c>
      <c r="G100" s="35" t="s">
        <v>423</v>
      </c>
      <c r="H100" s="35">
        <v>585000</v>
      </c>
      <c r="I100" s="35" t="s">
        <v>185</v>
      </c>
      <c r="J100" s="35">
        <f>1820000-H100</f>
        <v>1235000</v>
      </c>
      <c r="K100" s="21">
        <v>100717.5</v>
      </c>
      <c r="L100" s="35" t="s">
        <v>185</v>
      </c>
      <c r="M100" s="35">
        <v>98.197999999999993</v>
      </c>
    </row>
    <row r="101" spans="1:13" x14ac:dyDescent="0.3">
      <c r="A101" s="35" t="s">
        <v>179</v>
      </c>
      <c r="B101" s="35" t="s">
        <v>180</v>
      </c>
      <c r="C101" s="46">
        <v>1998</v>
      </c>
      <c r="D101" s="35" t="s">
        <v>183</v>
      </c>
      <c r="E101" s="35" t="s">
        <v>190</v>
      </c>
      <c r="F101" s="35">
        <v>2020</v>
      </c>
      <c r="G101" s="35" t="s">
        <v>423</v>
      </c>
      <c r="H101" s="35">
        <v>1235000</v>
      </c>
      <c r="I101" s="35" t="s">
        <v>185</v>
      </c>
      <c r="J101" s="35">
        <f>J100-H101</f>
        <v>0</v>
      </c>
      <c r="K101" s="35">
        <v>34410</v>
      </c>
      <c r="L101" s="35" t="s">
        <v>185</v>
      </c>
      <c r="M101" s="35">
        <v>98.363</v>
      </c>
    </row>
    <row r="102" spans="1:13" x14ac:dyDescent="0.3">
      <c r="A102" s="35" t="s">
        <v>179</v>
      </c>
      <c r="B102" s="35" t="s">
        <v>180</v>
      </c>
      <c r="C102" s="46">
        <v>1998</v>
      </c>
      <c r="D102" s="35" t="s">
        <v>183</v>
      </c>
      <c r="E102" s="35" t="s">
        <v>195</v>
      </c>
      <c r="F102" s="35">
        <v>2019</v>
      </c>
      <c r="G102" s="35" t="s">
        <v>191</v>
      </c>
      <c r="H102" s="35">
        <v>615000</v>
      </c>
      <c r="I102" s="35" t="s">
        <v>185</v>
      </c>
      <c r="J102" s="35" t="s">
        <v>185</v>
      </c>
      <c r="K102" s="35" t="s">
        <v>185</v>
      </c>
      <c r="L102" s="35" t="s">
        <v>185</v>
      </c>
      <c r="M102" s="35" t="s">
        <v>185</v>
      </c>
    </row>
    <row r="103" spans="1:13" x14ac:dyDescent="0.3">
      <c r="A103" s="35" t="s">
        <v>179</v>
      </c>
      <c r="B103" s="35" t="s">
        <v>180</v>
      </c>
      <c r="C103" s="35">
        <v>1998</v>
      </c>
      <c r="D103" s="35" t="s">
        <v>183</v>
      </c>
      <c r="E103" s="35" t="s">
        <v>195</v>
      </c>
      <c r="F103" s="35">
        <v>2020</v>
      </c>
      <c r="G103" s="35" t="s">
        <v>191</v>
      </c>
      <c r="H103" s="35">
        <v>620000</v>
      </c>
      <c r="I103" s="35" t="s">
        <v>185</v>
      </c>
      <c r="J103" s="35" t="s">
        <v>185</v>
      </c>
      <c r="K103" s="35" t="s">
        <v>185</v>
      </c>
      <c r="L103" s="35" t="s">
        <v>185</v>
      </c>
      <c r="M103" s="35" t="s">
        <v>185</v>
      </c>
    </row>
    <row r="104" spans="1:13" x14ac:dyDescent="0.3">
      <c r="A104" s="35" t="s">
        <v>179</v>
      </c>
      <c r="B104" s="35" t="s">
        <v>180</v>
      </c>
      <c r="C104" s="35">
        <v>1995</v>
      </c>
      <c r="D104" s="35" t="s">
        <v>183</v>
      </c>
      <c r="E104" s="35" t="s">
        <v>190</v>
      </c>
      <c r="F104" s="35">
        <v>1995</v>
      </c>
      <c r="G104" s="35" t="s">
        <v>191</v>
      </c>
      <c r="H104" s="35">
        <v>0</v>
      </c>
      <c r="I104" s="35" t="s">
        <v>185</v>
      </c>
      <c r="J104" s="35"/>
      <c r="K104" s="35">
        <v>31160</v>
      </c>
      <c r="L104" s="35"/>
      <c r="M104" s="35"/>
    </row>
    <row r="105" spans="1:13" x14ac:dyDescent="0.3">
      <c r="A105" s="35" t="s">
        <v>179</v>
      </c>
      <c r="B105" s="35" t="s">
        <v>180</v>
      </c>
      <c r="C105" s="21">
        <v>1995</v>
      </c>
      <c r="D105" s="21" t="s">
        <v>183</v>
      </c>
      <c r="E105" s="21" t="s">
        <v>190</v>
      </c>
      <c r="F105" s="21">
        <v>1996</v>
      </c>
      <c r="G105" s="35" t="s">
        <v>191</v>
      </c>
      <c r="H105" s="21">
        <v>25000</v>
      </c>
      <c r="I105" s="21">
        <v>5</v>
      </c>
      <c r="J105" s="21">
        <f>1065000-H105</f>
        <v>1040000</v>
      </c>
      <c r="K105" s="21">
        <v>68400</v>
      </c>
      <c r="M105" s="21">
        <v>100</v>
      </c>
    </row>
    <row r="106" spans="1:13" x14ac:dyDescent="0.3">
      <c r="A106" s="35" t="s">
        <v>179</v>
      </c>
      <c r="B106" s="35" t="s">
        <v>180</v>
      </c>
      <c r="C106" s="21">
        <v>1995</v>
      </c>
      <c r="D106" s="21" t="s">
        <v>183</v>
      </c>
      <c r="E106" s="21" t="s">
        <v>190</v>
      </c>
      <c r="F106" s="21">
        <v>1997</v>
      </c>
      <c r="G106" s="35" t="s">
        <v>191</v>
      </c>
      <c r="H106" s="21">
        <v>25000</v>
      </c>
      <c r="I106" s="21">
        <v>5.25</v>
      </c>
      <c r="J106" s="21">
        <f>J105-H106</f>
        <v>1015000</v>
      </c>
      <c r="K106" s="21">
        <v>67150</v>
      </c>
      <c r="M106" s="21">
        <v>100</v>
      </c>
    </row>
    <row r="107" spans="1:13" x14ac:dyDescent="0.3">
      <c r="A107" s="35" t="s">
        <v>179</v>
      </c>
      <c r="B107" s="35" t="s">
        <v>180</v>
      </c>
      <c r="C107" s="21">
        <v>1995</v>
      </c>
      <c r="D107" s="21" t="s">
        <v>183</v>
      </c>
      <c r="E107" s="21" t="s">
        <v>190</v>
      </c>
      <c r="F107" s="21">
        <v>1998</v>
      </c>
      <c r="G107" s="35" t="s">
        <v>191</v>
      </c>
      <c r="H107" s="21">
        <v>25000</v>
      </c>
      <c r="I107" s="21">
        <v>5.5</v>
      </c>
      <c r="J107" s="21">
        <f t="shared" ref="J107:J126" si="4">J106-H107</f>
        <v>990000</v>
      </c>
      <c r="K107" s="21">
        <v>65837.5</v>
      </c>
      <c r="M107" s="21">
        <v>100</v>
      </c>
    </row>
    <row r="108" spans="1:13" x14ac:dyDescent="0.3">
      <c r="A108" s="35" t="s">
        <v>179</v>
      </c>
      <c r="B108" s="35" t="s">
        <v>180</v>
      </c>
      <c r="C108" s="21">
        <v>1995</v>
      </c>
      <c r="D108" s="21" t="s">
        <v>183</v>
      </c>
      <c r="E108" s="21" t="s">
        <v>190</v>
      </c>
      <c r="F108" s="21">
        <v>1999</v>
      </c>
      <c r="G108" s="35" t="s">
        <v>191</v>
      </c>
      <c r="H108" s="21">
        <v>30000</v>
      </c>
      <c r="I108" s="21">
        <v>5.75</v>
      </c>
      <c r="J108" s="21">
        <f t="shared" si="4"/>
        <v>960000</v>
      </c>
      <c r="K108" s="21">
        <v>64462.5</v>
      </c>
      <c r="M108" s="21">
        <v>100</v>
      </c>
    </row>
    <row r="109" spans="1:13" x14ac:dyDescent="0.3">
      <c r="A109" s="35" t="s">
        <v>179</v>
      </c>
      <c r="B109" s="35" t="s">
        <v>180</v>
      </c>
      <c r="C109" s="21">
        <v>1995</v>
      </c>
      <c r="D109" s="21" t="s">
        <v>183</v>
      </c>
      <c r="E109" s="21" t="s">
        <v>190</v>
      </c>
      <c r="F109" s="21">
        <v>2000</v>
      </c>
      <c r="G109" s="35" t="s">
        <v>191</v>
      </c>
      <c r="H109" s="21">
        <v>30000</v>
      </c>
      <c r="I109" s="21">
        <v>6</v>
      </c>
      <c r="J109" s="21">
        <f t="shared" si="4"/>
        <v>930000</v>
      </c>
      <c r="K109" s="21">
        <v>52737.5</v>
      </c>
      <c r="M109" s="21">
        <v>100</v>
      </c>
    </row>
    <row r="110" spans="1:13" x14ac:dyDescent="0.3">
      <c r="A110" s="35" t="s">
        <v>179</v>
      </c>
      <c r="B110" s="35" t="s">
        <v>180</v>
      </c>
      <c r="C110" s="21">
        <v>1995</v>
      </c>
      <c r="D110" s="21" t="s">
        <v>183</v>
      </c>
      <c r="E110" s="21" t="s">
        <v>190</v>
      </c>
      <c r="F110" s="21">
        <v>2001</v>
      </c>
      <c r="G110" s="35" t="s">
        <v>191</v>
      </c>
      <c r="H110" s="21">
        <v>30000</v>
      </c>
      <c r="I110" s="21">
        <v>6</v>
      </c>
      <c r="J110" s="21">
        <f t="shared" si="4"/>
        <v>900000</v>
      </c>
      <c r="K110" s="21">
        <v>60937.5</v>
      </c>
      <c r="M110" s="21">
        <v>99.73</v>
      </c>
    </row>
    <row r="111" spans="1:13" x14ac:dyDescent="0.3">
      <c r="A111" s="35" t="s">
        <v>179</v>
      </c>
      <c r="B111" s="35" t="s">
        <v>180</v>
      </c>
      <c r="C111" s="21">
        <v>1995</v>
      </c>
      <c r="D111" s="21" t="s">
        <v>183</v>
      </c>
      <c r="E111" s="21" t="s">
        <v>190</v>
      </c>
      <c r="F111" s="21">
        <v>2002</v>
      </c>
      <c r="G111" s="35" t="s">
        <v>191</v>
      </c>
      <c r="H111" s="21">
        <v>35000</v>
      </c>
      <c r="I111" s="21">
        <v>6</v>
      </c>
      <c r="J111" s="21">
        <f t="shared" si="4"/>
        <v>865000</v>
      </c>
      <c r="K111" s="21">
        <v>59137.5</v>
      </c>
      <c r="M111" s="21">
        <v>99.403999999999996</v>
      </c>
    </row>
    <row r="112" spans="1:13" x14ac:dyDescent="0.3">
      <c r="A112" s="35" t="s">
        <v>179</v>
      </c>
      <c r="B112" s="35" t="s">
        <v>180</v>
      </c>
      <c r="C112" s="21">
        <v>1995</v>
      </c>
      <c r="D112" s="21" t="s">
        <v>183</v>
      </c>
      <c r="E112" s="21" t="s">
        <v>195</v>
      </c>
      <c r="F112" s="21">
        <v>2003</v>
      </c>
      <c r="G112" s="35" t="s">
        <v>191</v>
      </c>
      <c r="H112" s="21">
        <v>35000</v>
      </c>
      <c r="I112" s="21">
        <v>6</v>
      </c>
      <c r="J112" s="21">
        <f t="shared" si="4"/>
        <v>830000</v>
      </c>
      <c r="K112" s="21">
        <v>57037.5</v>
      </c>
    </row>
    <row r="113" spans="1:13" x14ac:dyDescent="0.3">
      <c r="A113" s="35" t="s">
        <v>179</v>
      </c>
      <c r="B113" s="35" t="s">
        <v>180</v>
      </c>
      <c r="C113" s="21">
        <v>1995</v>
      </c>
      <c r="D113" s="21" t="s">
        <v>183</v>
      </c>
      <c r="E113" s="21" t="s">
        <v>190</v>
      </c>
      <c r="F113" s="21">
        <v>2004</v>
      </c>
      <c r="G113" s="35" t="s">
        <v>191</v>
      </c>
      <c r="H113" s="21">
        <v>40000</v>
      </c>
      <c r="I113" s="21">
        <v>6</v>
      </c>
      <c r="J113" s="21">
        <f t="shared" si="4"/>
        <v>790000</v>
      </c>
      <c r="K113" s="21">
        <v>54937.5</v>
      </c>
      <c r="M113" s="21">
        <v>98.234999999999999</v>
      </c>
    </row>
    <row r="114" spans="1:13" x14ac:dyDescent="0.3">
      <c r="A114" s="35" t="s">
        <v>179</v>
      </c>
      <c r="B114" s="35" t="s">
        <v>180</v>
      </c>
      <c r="C114" s="21">
        <v>1995</v>
      </c>
      <c r="D114" s="21" t="s">
        <v>183</v>
      </c>
      <c r="E114" s="21" t="s">
        <v>195</v>
      </c>
      <c r="F114" s="21">
        <v>2005</v>
      </c>
      <c r="G114" s="35" t="s">
        <v>191</v>
      </c>
      <c r="H114" s="21">
        <v>40000</v>
      </c>
      <c r="I114" s="21">
        <v>6</v>
      </c>
      <c r="J114" s="21">
        <f t="shared" si="4"/>
        <v>750000</v>
      </c>
      <c r="K114" s="21">
        <v>52537.5</v>
      </c>
    </row>
    <row r="115" spans="1:13" x14ac:dyDescent="0.3">
      <c r="A115" s="35" t="s">
        <v>179</v>
      </c>
      <c r="B115" s="35" t="s">
        <v>180</v>
      </c>
      <c r="C115" s="21">
        <v>1995</v>
      </c>
      <c r="D115" s="21" t="s">
        <v>183</v>
      </c>
      <c r="E115" s="21" t="s">
        <v>190</v>
      </c>
      <c r="F115" s="21">
        <v>2006</v>
      </c>
      <c r="G115" s="35" t="s">
        <v>191</v>
      </c>
      <c r="H115" s="21">
        <v>45000</v>
      </c>
      <c r="I115" s="21">
        <v>6.25</v>
      </c>
      <c r="J115" s="21">
        <f t="shared" si="4"/>
        <v>705000</v>
      </c>
      <c r="K115" s="21">
        <v>50037.5</v>
      </c>
      <c r="M115" s="21">
        <v>98</v>
      </c>
    </row>
    <row r="116" spans="1:13" x14ac:dyDescent="0.3">
      <c r="A116" s="35" t="s">
        <v>179</v>
      </c>
      <c r="B116" s="35" t="s">
        <v>180</v>
      </c>
      <c r="C116" s="21">
        <v>1995</v>
      </c>
      <c r="D116" s="21" t="s">
        <v>183</v>
      </c>
      <c r="E116" s="21" t="s">
        <v>195</v>
      </c>
      <c r="F116" s="21">
        <v>2007</v>
      </c>
      <c r="G116" s="35" t="s">
        <v>191</v>
      </c>
      <c r="H116" s="21">
        <v>45000</v>
      </c>
      <c r="I116" s="21">
        <v>6.25</v>
      </c>
      <c r="J116" s="21">
        <f t="shared" si="4"/>
        <v>660000</v>
      </c>
      <c r="K116" s="21">
        <v>47225</v>
      </c>
    </row>
    <row r="117" spans="1:13" x14ac:dyDescent="0.3">
      <c r="A117" s="35" t="s">
        <v>179</v>
      </c>
      <c r="B117" s="35" t="s">
        <v>180</v>
      </c>
      <c r="C117" s="21">
        <v>1995</v>
      </c>
      <c r="D117" s="21" t="s">
        <v>183</v>
      </c>
      <c r="E117" s="21" t="s">
        <v>195</v>
      </c>
      <c r="F117" s="21">
        <v>2008</v>
      </c>
      <c r="G117" s="35" t="s">
        <v>191</v>
      </c>
      <c r="H117" s="21">
        <v>50000</v>
      </c>
      <c r="I117" s="21">
        <v>6.25</v>
      </c>
      <c r="J117" s="21">
        <f t="shared" si="4"/>
        <v>610000</v>
      </c>
      <c r="K117" s="21">
        <v>44300</v>
      </c>
    </row>
    <row r="118" spans="1:13" x14ac:dyDescent="0.3">
      <c r="A118" s="35" t="s">
        <v>179</v>
      </c>
      <c r="B118" s="35" t="s">
        <v>180</v>
      </c>
      <c r="C118" s="21">
        <v>1995</v>
      </c>
      <c r="D118" s="21" t="s">
        <v>183</v>
      </c>
      <c r="E118" s="21" t="s">
        <v>190</v>
      </c>
      <c r="F118" s="21">
        <v>2009</v>
      </c>
      <c r="G118" s="35" t="s">
        <v>191</v>
      </c>
      <c r="H118" s="21">
        <v>50000</v>
      </c>
      <c r="I118" s="21">
        <v>6.5</v>
      </c>
      <c r="J118" s="21">
        <f t="shared" si="4"/>
        <v>560000</v>
      </c>
      <c r="K118" s="21">
        <v>41050</v>
      </c>
      <c r="M118" s="21">
        <v>97.710999999999999</v>
      </c>
    </row>
    <row r="119" spans="1:13" x14ac:dyDescent="0.3">
      <c r="A119" s="35" t="s">
        <v>179</v>
      </c>
      <c r="B119" s="35" t="s">
        <v>180</v>
      </c>
      <c r="C119" s="21">
        <v>1995</v>
      </c>
      <c r="D119" s="21" t="s">
        <v>183</v>
      </c>
      <c r="E119" s="21" t="s">
        <v>195</v>
      </c>
      <c r="F119" s="21">
        <v>2010</v>
      </c>
      <c r="G119" s="35" t="s">
        <v>191</v>
      </c>
      <c r="H119" s="21">
        <v>55000</v>
      </c>
      <c r="I119" s="21">
        <v>6.5</v>
      </c>
      <c r="J119" s="21">
        <f t="shared" si="4"/>
        <v>505000</v>
      </c>
      <c r="K119" s="21">
        <v>37800</v>
      </c>
    </row>
    <row r="120" spans="1:13" x14ac:dyDescent="0.3">
      <c r="A120" s="35" t="s">
        <v>179</v>
      </c>
      <c r="B120" s="35" t="s">
        <v>180</v>
      </c>
      <c r="C120" s="21">
        <v>1995</v>
      </c>
      <c r="D120" s="21" t="s">
        <v>183</v>
      </c>
      <c r="E120" s="21" t="s">
        <v>195</v>
      </c>
      <c r="F120" s="21">
        <v>2011</v>
      </c>
      <c r="G120" s="35" t="s">
        <v>191</v>
      </c>
      <c r="H120" s="21">
        <v>60000</v>
      </c>
      <c r="I120" s="21">
        <v>6.5</v>
      </c>
      <c r="J120" s="21">
        <f t="shared" si="4"/>
        <v>445000</v>
      </c>
      <c r="K120" s="21">
        <v>34087.5</v>
      </c>
    </row>
    <row r="121" spans="1:13" x14ac:dyDescent="0.3">
      <c r="A121" s="35" t="s">
        <v>179</v>
      </c>
      <c r="B121" s="35" t="s">
        <v>180</v>
      </c>
      <c r="C121" s="21">
        <v>1995</v>
      </c>
      <c r="D121" s="21" t="s">
        <v>183</v>
      </c>
      <c r="E121" s="21" t="s">
        <v>195</v>
      </c>
      <c r="F121" s="21">
        <v>2012</v>
      </c>
      <c r="G121" s="35" t="s">
        <v>191</v>
      </c>
      <c r="H121" s="21">
        <v>65000</v>
      </c>
      <c r="I121" s="21">
        <v>6.5</v>
      </c>
      <c r="J121" s="21">
        <f t="shared" si="4"/>
        <v>380000</v>
      </c>
      <c r="K121" s="21">
        <v>30037.5</v>
      </c>
    </row>
    <row r="122" spans="1:13" x14ac:dyDescent="0.3">
      <c r="A122" s="35" t="s">
        <v>179</v>
      </c>
      <c r="B122" s="35" t="s">
        <v>180</v>
      </c>
      <c r="C122" s="21">
        <v>1995</v>
      </c>
      <c r="D122" s="21" t="s">
        <v>183</v>
      </c>
      <c r="E122" s="21" t="s">
        <v>190</v>
      </c>
      <c r="F122" s="21">
        <v>2013</v>
      </c>
      <c r="G122" s="35" t="s">
        <v>191</v>
      </c>
      <c r="H122" s="21">
        <v>70000</v>
      </c>
      <c r="I122" s="21">
        <v>6.75</v>
      </c>
      <c r="J122" s="21">
        <f t="shared" si="4"/>
        <v>310000</v>
      </c>
      <c r="K122" s="21">
        <v>25650</v>
      </c>
      <c r="M122" s="21">
        <v>97.426000000000002</v>
      </c>
    </row>
    <row r="123" spans="1:13" x14ac:dyDescent="0.3">
      <c r="A123" s="35" t="s">
        <v>179</v>
      </c>
      <c r="B123" s="35" t="s">
        <v>180</v>
      </c>
      <c r="C123" s="21">
        <v>1995</v>
      </c>
      <c r="D123" s="21" t="s">
        <v>183</v>
      </c>
      <c r="E123" s="21" t="s">
        <v>195</v>
      </c>
      <c r="F123" s="21">
        <v>2014</v>
      </c>
      <c r="G123" s="35" t="s">
        <v>191</v>
      </c>
      <c r="H123" s="21">
        <v>70000</v>
      </c>
      <c r="I123" s="21">
        <v>6.75</v>
      </c>
      <c r="J123" s="21">
        <f t="shared" si="4"/>
        <v>240000</v>
      </c>
      <c r="K123" s="21">
        <v>20925</v>
      </c>
    </row>
    <row r="124" spans="1:13" x14ac:dyDescent="0.3">
      <c r="A124" s="35" t="s">
        <v>179</v>
      </c>
      <c r="B124" s="35" t="s">
        <v>180</v>
      </c>
      <c r="C124" s="21">
        <v>1995</v>
      </c>
      <c r="D124" s="21" t="s">
        <v>183</v>
      </c>
      <c r="E124" s="21" t="s">
        <v>195</v>
      </c>
      <c r="F124" s="21">
        <v>2015</v>
      </c>
      <c r="G124" s="35" t="s">
        <v>191</v>
      </c>
      <c r="H124" s="21">
        <v>75000</v>
      </c>
      <c r="I124" s="21">
        <v>6.75</v>
      </c>
      <c r="J124" s="21">
        <f t="shared" si="4"/>
        <v>165000</v>
      </c>
      <c r="K124" s="21">
        <v>16200</v>
      </c>
    </row>
    <row r="125" spans="1:13" x14ac:dyDescent="0.3">
      <c r="A125" s="35" t="s">
        <v>179</v>
      </c>
      <c r="B125" s="35" t="s">
        <v>180</v>
      </c>
      <c r="C125" s="21">
        <v>1995</v>
      </c>
      <c r="D125" s="21" t="s">
        <v>183</v>
      </c>
      <c r="E125" s="21" t="s">
        <v>195</v>
      </c>
      <c r="F125" s="21">
        <v>2016</v>
      </c>
      <c r="G125" s="35" t="s">
        <v>191</v>
      </c>
      <c r="H125" s="21">
        <v>80000</v>
      </c>
      <c r="I125" s="21">
        <v>6.75</v>
      </c>
      <c r="J125" s="21">
        <f t="shared" si="4"/>
        <v>85000</v>
      </c>
      <c r="K125" s="21">
        <v>11137.5</v>
      </c>
    </row>
    <row r="126" spans="1:13" x14ac:dyDescent="0.3">
      <c r="A126" s="35" t="s">
        <v>179</v>
      </c>
      <c r="B126" s="35" t="s">
        <v>180</v>
      </c>
      <c r="C126" s="21">
        <v>1995</v>
      </c>
      <c r="D126" s="21" t="s">
        <v>183</v>
      </c>
      <c r="E126" s="21" t="s">
        <v>190</v>
      </c>
      <c r="F126" s="21">
        <v>2017</v>
      </c>
      <c r="G126" s="35" t="s">
        <v>191</v>
      </c>
      <c r="H126" s="21">
        <v>85000</v>
      </c>
      <c r="I126" s="21">
        <v>6.75</v>
      </c>
      <c r="J126" s="21">
        <f t="shared" si="4"/>
        <v>0</v>
      </c>
      <c r="K126" s="21">
        <v>5737.5</v>
      </c>
      <c r="M126" s="21">
        <v>94.492000000000004</v>
      </c>
    </row>
    <row r="127" spans="1:13" x14ac:dyDescent="0.3">
      <c r="A127" s="35" t="s">
        <v>179</v>
      </c>
      <c r="B127" s="35" t="s">
        <v>180</v>
      </c>
      <c r="C127" s="21">
        <v>1994</v>
      </c>
      <c r="D127" s="21" t="s">
        <v>183</v>
      </c>
      <c r="E127" s="21" t="s">
        <v>190</v>
      </c>
      <c r="F127" s="21">
        <v>1994</v>
      </c>
      <c r="G127" s="35" t="s">
        <v>191</v>
      </c>
      <c r="K127" s="21">
        <v>234423.33</v>
      </c>
    </row>
    <row r="128" spans="1:13" x14ac:dyDescent="0.3">
      <c r="A128" s="35" t="s">
        <v>179</v>
      </c>
      <c r="B128" s="35" t="s">
        <v>180</v>
      </c>
      <c r="C128" s="21">
        <v>1994</v>
      </c>
      <c r="D128" s="21" t="s">
        <v>183</v>
      </c>
      <c r="E128" s="21" t="s">
        <v>190</v>
      </c>
      <c r="F128" s="21">
        <v>1995</v>
      </c>
      <c r="G128" s="35" t="s">
        <v>191</v>
      </c>
      <c r="H128" s="21" t="s">
        <v>192</v>
      </c>
      <c r="K128" s="21">
        <v>351635</v>
      </c>
    </row>
    <row r="129" spans="1:13" x14ac:dyDescent="0.3">
      <c r="A129" s="35" t="s">
        <v>179</v>
      </c>
      <c r="B129" s="35" t="s">
        <v>180</v>
      </c>
      <c r="C129" s="21">
        <v>1994</v>
      </c>
      <c r="D129" s="21" t="s">
        <v>183</v>
      </c>
      <c r="E129" s="21" t="s">
        <v>190</v>
      </c>
      <c r="F129" s="21">
        <v>1996</v>
      </c>
      <c r="G129" s="35" t="s">
        <v>191</v>
      </c>
      <c r="H129" s="21" t="s">
        <v>192</v>
      </c>
      <c r="K129" s="21">
        <v>351635</v>
      </c>
    </row>
    <row r="130" spans="1:13" x14ac:dyDescent="0.3">
      <c r="A130" s="35" t="s">
        <v>179</v>
      </c>
      <c r="B130" s="35" t="s">
        <v>180</v>
      </c>
      <c r="C130" s="21">
        <v>1994</v>
      </c>
      <c r="D130" s="21" t="s">
        <v>183</v>
      </c>
      <c r="E130" s="21" t="s">
        <v>190</v>
      </c>
      <c r="F130" s="21">
        <v>1997</v>
      </c>
      <c r="G130" s="35" t="s">
        <v>191</v>
      </c>
      <c r="H130" s="21" t="s">
        <v>192</v>
      </c>
      <c r="K130" s="21">
        <v>351635</v>
      </c>
    </row>
    <row r="131" spans="1:13" x14ac:dyDescent="0.3">
      <c r="A131" s="35" t="s">
        <v>179</v>
      </c>
      <c r="B131" s="35" t="s">
        <v>180</v>
      </c>
      <c r="C131" s="21">
        <v>1994</v>
      </c>
      <c r="D131" s="21" t="s">
        <v>183</v>
      </c>
      <c r="E131" s="21" t="s">
        <v>190</v>
      </c>
      <c r="F131" s="21">
        <v>1998</v>
      </c>
      <c r="G131" s="35" t="s">
        <v>191</v>
      </c>
      <c r="H131" s="21" t="s">
        <v>192</v>
      </c>
      <c r="K131" s="21">
        <v>351635</v>
      </c>
    </row>
    <row r="132" spans="1:13" x14ac:dyDescent="0.3">
      <c r="A132" s="35" t="s">
        <v>179</v>
      </c>
      <c r="B132" s="35" t="s">
        <v>180</v>
      </c>
      <c r="C132" s="21">
        <v>1994</v>
      </c>
      <c r="D132" s="21" t="s">
        <v>183</v>
      </c>
      <c r="E132" s="21" t="s">
        <v>190</v>
      </c>
      <c r="F132" s="21">
        <v>1999</v>
      </c>
      <c r="G132" s="35" t="s">
        <v>191</v>
      </c>
      <c r="H132" s="21">
        <v>75000</v>
      </c>
      <c r="I132" s="21">
        <v>4</v>
      </c>
      <c r="J132" s="21">
        <f>6755000-H132</f>
        <v>6680000</v>
      </c>
      <c r="K132" s="21">
        <v>351635</v>
      </c>
      <c r="M132" s="21">
        <v>99.244</v>
      </c>
    </row>
    <row r="133" spans="1:13" x14ac:dyDescent="0.3">
      <c r="A133" s="35" t="s">
        <v>179</v>
      </c>
      <c r="B133" s="35" t="s">
        <v>180</v>
      </c>
      <c r="C133" s="21">
        <v>1994</v>
      </c>
      <c r="D133" s="21" t="s">
        <v>183</v>
      </c>
      <c r="E133" s="21" t="s">
        <v>195</v>
      </c>
      <c r="F133" s="21">
        <v>2000</v>
      </c>
      <c r="G133" s="35" t="s">
        <v>191</v>
      </c>
      <c r="H133" s="21">
        <v>240000</v>
      </c>
      <c r="I133" s="21">
        <v>4</v>
      </c>
      <c r="J133" s="21">
        <f>J132-H133</f>
        <v>6440000</v>
      </c>
      <c r="K133" s="21">
        <v>348635</v>
      </c>
    </row>
    <row r="134" spans="1:13" x14ac:dyDescent="0.3">
      <c r="A134" s="35" t="s">
        <v>179</v>
      </c>
      <c r="B134" s="35" t="s">
        <v>180</v>
      </c>
      <c r="C134" s="21">
        <v>1994</v>
      </c>
      <c r="D134" s="21" t="s">
        <v>183</v>
      </c>
      <c r="E134" s="21" t="s">
        <v>195</v>
      </c>
      <c r="F134" s="21">
        <v>2001</v>
      </c>
      <c r="G134" s="35" t="s">
        <v>191</v>
      </c>
      <c r="H134" s="21">
        <v>250000</v>
      </c>
      <c r="I134" s="21">
        <v>4</v>
      </c>
      <c r="J134" s="21">
        <f t="shared" ref="J134:J150" si="5">J133-H134</f>
        <v>6190000</v>
      </c>
      <c r="K134" s="21">
        <v>337595</v>
      </c>
    </row>
    <row r="135" spans="1:13" x14ac:dyDescent="0.3">
      <c r="A135" s="35" t="s">
        <v>179</v>
      </c>
      <c r="B135" s="35" t="s">
        <v>180</v>
      </c>
      <c r="C135" s="21">
        <v>1994</v>
      </c>
      <c r="D135" s="21" t="s">
        <v>183</v>
      </c>
      <c r="E135" s="21" t="s">
        <v>195</v>
      </c>
      <c r="F135" s="21">
        <v>2002</v>
      </c>
      <c r="G135" s="35" t="s">
        <v>191</v>
      </c>
      <c r="H135" s="21">
        <v>260000</v>
      </c>
      <c r="I135" s="21">
        <v>4</v>
      </c>
      <c r="J135" s="21">
        <f t="shared" si="5"/>
        <v>5930000</v>
      </c>
      <c r="K135" s="21">
        <v>326095</v>
      </c>
    </row>
    <row r="136" spans="1:13" x14ac:dyDescent="0.3">
      <c r="A136" s="35" t="s">
        <v>179</v>
      </c>
      <c r="B136" s="35" t="s">
        <v>180</v>
      </c>
      <c r="C136" s="21">
        <v>1994</v>
      </c>
      <c r="D136" s="21" t="s">
        <v>183</v>
      </c>
      <c r="E136" s="21" t="s">
        <v>190</v>
      </c>
      <c r="F136" s="21">
        <v>2003</v>
      </c>
      <c r="G136" s="35" t="s">
        <v>191</v>
      </c>
      <c r="H136" s="21">
        <v>275000</v>
      </c>
      <c r="I136" s="21">
        <v>4.5999999999999996</v>
      </c>
      <c r="J136" s="21">
        <f t="shared" si="5"/>
        <v>5655000</v>
      </c>
      <c r="K136" s="21">
        <v>314135</v>
      </c>
      <c r="M136" s="21">
        <v>99.224000000000004</v>
      </c>
    </row>
    <row r="137" spans="1:13" x14ac:dyDescent="0.3">
      <c r="A137" s="35" t="s">
        <v>179</v>
      </c>
      <c r="B137" s="35" t="s">
        <v>180</v>
      </c>
      <c r="C137" s="21">
        <v>1994</v>
      </c>
      <c r="D137" s="21" t="s">
        <v>183</v>
      </c>
      <c r="E137" s="21" t="s">
        <v>190</v>
      </c>
      <c r="F137" s="21">
        <v>2004</v>
      </c>
      <c r="G137" s="35" t="s">
        <v>191</v>
      </c>
      <c r="H137" s="21">
        <v>285000</v>
      </c>
      <c r="I137" s="21">
        <v>4.75</v>
      </c>
      <c r="J137" s="21">
        <f t="shared" si="5"/>
        <v>5370000</v>
      </c>
      <c r="K137" s="21">
        <v>301485</v>
      </c>
      <c r="M137" s="21">
        <v>98.350999999999999</v>
      </c>
    </row>
    <row r="138" spans="1:13" x14ac:dyDescent="0.3">
      <c r="A138" s="35" t="s">
        <v>179</v>
      </c>
      <c r="B138" s="35" t="s">
        <v>180</v>
      </c>
      <c r="C138" s="21">
        <v>1994</v>
      </c>
      <c r="D138" s="21" t="s">
        <v>183</v>
      </c>
      <c r="E138" s="21" t="s">
        <v>190</v>
      </c>
      <c r="F138" s="21">
        <v>2005</v>
      </c>
      <c r="G138" s="35" t="s">
        <v>191</v>
      </c>
      <c r="H138" s="21">
        <v>300000</v>
      </c>
      <c r="I138" s="21">
        <v>5</v>
      </c>
      <c r="J138" s="21">
        <f t="shared" si="5"/>
        <v>5070000</v>
      </c>
      <c r="K138" s="21">
        <v>287947.5</v>
      </c>
      <c r="M138" s="21">
        <v>98.688999999999993</v>
      </c>
    </row>
    <row r="139" spans="1:13" x14ac:dyDescent="0.3">
      <c r="A139" s="35" t="s">
        <v>179</v>
      </c>
      <c r="B139" s="35" t="s">
        <v>180</v>
      </c>
      <c r="C139" s="21">
        <v>1994</v>
      </c>
      <c r="D139" s="21" t="s">
        <v>183</v>
      </c>
      <c r="E139" s="21" t="s">
        <v>190</v>
      </c>
      <c r="F139" s="21">
        <v>2006</v>
      </c>
      <c r="G139" s="35" t="s">
        <v>191</v>
      </c>
      <c r="H139" s="21">
        <v>315000</v>
      </c>
      <c r="I139" s="21">
        <v>5</v>
      </c>
      <c r="J139" s="21">
        <f t="shared" si="5"/>
        <v>4755000</v>
      </c>
      <c r="K139" s="21">
        <v>272947.5</v>
      </c>
      <c r="M139" s="21">
        <v>97.25</v>
      </c>
    </row>
    <row r="140" spans="1:13" x14ac:dyDescent="0.3">
      <c r="A140" s="35" t="s">
        <v>179</v>
      </c>
      <c r="B140" s="35" t="s">
        <v>180</v>
      </c>
      <c r="C140" s="21">
        <v>1994</v>
      </c>
      <c r="D140" s="21" t="s">
        <v>183</v>
      </c>
      <c r="E140" s="21" t="s">
        <v>195</v>
      </c>
      <c r="F140" s="21">
        <v>2007</v>
      </c>
      <c r="G140" s="35" t="s">
        <v>191</v>
      </c>
      <c r="H140" s="21">
        <v>330000</v>
      </c>
      <c r="I140" s="21">
        <v>5</v>
      </c>
      <c r="J140" s="21">
        <f t="shared" si="5"/>
        <v>4425000</v>
      </c>
      <c r="K140" s="21">
        <v>257197.5</v>
      </c>
    </row>
    <row r="141" spans="1:13" x14ac:dyDescent="0.3">
      <c r="A141" s="35" t="s">
        <v>179</v>
      </c>
      <c r="B141" s="35" t="s">
        <v>180</v>
      </c>
      <c r="C141" s="21">
        <v>1994</v>
      </c>
      <c r="D141" s="21" t="s">
        <v>183</v>
      </c>
      <c r="E141" s="21" t="s">
        <v>195</v>
      </c>
      <c r="F141" s="21">
        <v>2008</v>
      </c>
      <c r="G141" s="35" t="s">
        <v>191</v>
      </c>
      <c r="H141" s="21">
        <v>345000</v>
      </c>
      <c r="I141" s="21">
        <v>5</v>
      </c>
      <c r="J141" s="21">
        <f t="shared" si="5"/>
        <v>4080000</v>
      </c>
      <c r="K141" s="21">
        <v>239872.5</v>
      </c>
    </row>
    <row r="142" spans="1:13" x14ac:dyDescent="0.3">
      <c r="A142" s="35" t="s">
        <v>179</v>
      </c>
      <c r="B142" s="35" t="s">
        <v>180</v>
      </c>
      <c r="C142" s="21">
        <v>1994</v>
      </c>
      <c r="D142" s="21" t="s">
        <v>183</v>
      </c>
      <c r="E142" s="21" t="s">
        <v>195</v>
      </c>
      <c r="F142" s="21">
        <v>2009</v>
      </c>
      <c r="G142" s="35" t="s">
        <v>191</v>
      </c>
      <c r="H142" s="21">
        <v>365000</v>
      </c>
      <c r="I142" s="21">
        <v>5</v>
      </c>
      <c r="J142" s="21">
        <f t="shared" si="5"/>
        <v>3715000</v>
      </c>
      <c r="K142" s="21">
        <v>221760</v>
      </c>
    </row>
    <row r="143" spans="1:13" x14ac:dyDescent="0.3">
      <c r="A143" s="35" t="s">
        <v>179</v>
      </c>
      <c r="B143" s="35" t="s">
        <v>180</v>
      </c>
      <c r="C143" s="21">
        <v>1994</v>
      </c>
      <c r="D143" s="21" t="s">
        <v>183</v>
      </c>
      <c r="E143" s="21" t="s">
        <v>190</v>
      </c>
      <c r="F143" s="21">
        <v>2010</v>
      </c>
      <c r="G143" s="35" t="s">
        <v>191</v>
      </c>
      <c r="H143" s="21">
        <v>385000</v>
      </c>
      <c r="I143" s="21">
        <v>5.25</v>
      </c>
      <c r="J143" s="21">
        <f t="shared" si="5"/>
        <v>3330000</v>
      </c>
      <c r="K143" s="21">
        <v>202597.5</v>
      </c>
      <c r="M143" s="21">
        <v>97.286000000000001</v>
      </c>
    </row>
    <row r="144" spans="1:13" x14ac:dyDescent="0.3">
      <c r="A144" s="35" t="s">
        <v>179</v>
      </c>
      <c r="B144" s="35" t="s">
        <v>180</v>
      </c>
      <c r="C144" s="21">
        <v>1994</v>
      </c>
      <c r="D144" s="21" t="s">
        <v>183</v>
      </c>
      <c r="E144" s="21" t="s">
        <v>195</v>
      </c>
      <c r="F144" s="21">
        <v>2011</v>
      </c>
      <c r="G144" s="35" t="s">
        <v>191</v>
      </c>
      <c r="H144" s="21">
        <v>405000</v>
      </c>
      <c r="I144" s="21">
        <v>5.25</v>
      </c>
      <c r="J144" s="21">
        <f t="shared" si="5"/>
        <v>2925000</v>
      </c>
      <c r="K144" s="21">
        <v>182385</v>
      </c>
    </row>
    <row r="145" spans="1:13" x14ac:dyDescent="0.3">
      <c r="A145" s="35" t="s">
        <v>179</v>
      </c>
      <c r="B145" s="35" t="s">
        <v>180</v>
      </c>
      <c r="C145" s="21">
        <v>1994</v>
      </c>
      <c r="D145" s="21" t="s">
        <v>183</v>
      </c>
      <c r="E145" s="21" t="s">
        <v>195</v>
      </c>
      <c r="F145" s="21">
        <v>2012</v>
      </c>
      <c r="G145" s="35" t="s">
        <v>191</v>
      </c>
      <c r="H145" s="21">
        <v>425000</v>
      </c>
      <c r="I145" s="21">
        <v>5.25</v>
      </c>
      <c r="J145" s="21">
        <f t="shared" si="5"/>
        <v>2500000</v>
      </c>
      <c r="K145" s="21">
        <v>161122.5</v>
      </c>
    </row>
    <row r="146" spans="1:13" x14ac:dyDescent="0.3">
      <c r="A146" s="35" t="s">
        <v>179</v>
      </c>
      <c r="B146" s="35" t="s">
        <v>180</v>
      </c>
      <c r="C146" s="21">
        <v>1994</v>
      </c>
      <c r="D146" s="21" t="s">
        <v>183</v>
      </c>
      <c r="E146" s="21" t="s">
        <v>190</v>
      </c>
      <c r="F146" s="21">
        <v>2013</v>
      </c>
      <c r="G146" s="35" t="s">
        <v>191</v>
      </c>
      <c r="H146" s="21">
        <v>450000</v>
      </c>
      <c r="I146" s="21">
        <v>5.25</v>
      </c>
      <c r="J146" s="21">
        <f t="shared" si="5"/>
        <v>2050000</v>
      </c>
      <c r="K146" s="21">
        <v>138810</v>
      </c>
      <c r="M146" s="21">
        <v>95.278000000000006</v>
      </c>
    </row>
    <row r="147" spans="1:13" x14ac:dyDescent="0.3">
      <c r="A147" s="35" t="s">
        <v>179</v>
      </c>
      <c r="B147" s="35" t="s">
        <v>180</v>
      </c>
      <c r="C147" s="21">
        <v>1994</v>
      </c>
      <c r="D147" s="21" t="s">
        <v>183</v>
      </c>
      <c r="E147" s="21" t="s">
        <v>195</v>
      </c>
      <c r="F147" s="21">
        <v>2014</v>
      </c>
      <c r="G147" s="35" t="s">
        <v>191</v>
      </c>
      <c r="H147" s="21">
        <v>470000</v>
      </c>
      <c r="I147" s="21">
        <v>5.25</v>
      </c>
      <c r="J147" s="21">
        <f t="shared" si="5"/>
        <v>1580000</v>
      </c>
      <c r="K147" s="21">
        <v>115185</v>
      </c>
    </row>
    <row r="148" spans="1:13" x14ac:dyDescent="0.3">
      <c r="A148" s="35" t="s">
        <v>179</v>
      </c>
      <c r="B148" s="35" t="s">
        <v>180</v>
      </c>
      <c r="C148" s="21">
        <v>1994</v>
      </c>
      <c r="D148" s="21" t="s">
        <v>183</v>
      </c>
      <c r="E148" s="21" t="s">
        <v>195</v>
      </c>
      <c r="F148" s="21">
        <v>2015</v>
      </c>
      <c r="G148" s="35" t="s">
        <v>191</v>
      </c>
      <c r="H148" s="21">
        <v>500000</v>
      </c>
      <c r="I148" s="21">
        <v>5.25</v>
      </c>
      <c r="J148" s="21">
        <f t="shared" si="5"/>
        <v>1080000</v>
      </c>
      <c r="K148" s="21">
        <v>88395</v>
      </c>
    </row>
    <row r="149" spans="1:13" x14ac:dyDescent="0.3">
      <c r="A149" s="35" t="s">
        <v>179</v>
      </c>
      <c r="B149" s="35" t="s">
        <v>180</v>
      </c>
      <c r="C149" s="21">
        <v>1994</v>
      </c>
      <c r="D149" s="21" t="s">
        <v>183</v>
      </c>
      <c r="E149" s="21" t="s">
        <v>190</v>
      </c>
      <c r="F149" s="21">
        <v>2016</v>
      </c>
      <c r="G149" s="35" t="s">
        <v>191</v>
      </c>
      <c r="H149" s="21">
        <v>525000</v>
      </c>
      <c r="I149" s="21">
        <v>5.7</v>
      </c>
      <c r="J149" s="21">
        <f t="shared" si="5"/>
        <v>555000</v>
      </c>
      <c r="K149" s="21">
        <v>59895</v>
      </c>
      <c r="M149" s="21">
        <v>100</v>
      </c>
    </row>
    <row r="150" spans="1:13" x14ac:dyDescent="0.3">
      <c r="A150" s="35" t="s">
        <v>179</v>
      </c>
      <c r="B150" s="35" t="s">
        <v>180</v>
      </c>
      <c r="C150" s="21">
        <v>1994</v>
      </c>
      <c r="D150" s="21" t="s">
        <v>183</v>
      </c>
      <c r="E150" s="21" t="s">
        <v>190</v>
      </c>
      <c r="F150" s="21">
        <v>2017</v>
      </c>
      <c r="G150" s="35" t="s">
        <v>191</v>
      </c>
      <c r="H150" s="21">
        <v>555000</v>
      </c>
      <c r="I150" s="21">
        <v>5.4</v>
      </c>
      <c r="J150" s="21">
        <f t="shared" si="5"/>
        <v>0</v>
      </c>
      <c r="K150" s="21">
        <v>29970</v>
      </c>
      <c r="M150" s="21">
        <v>96.12</v>
      </c>
    </row>
    <row r="151" spans="1:13" x14ac:dyDescent="0.3">
      <c r="A151" s="35" t="s">
        <v>179</v>
      </c>
      <c r="B151" s="35" t="s">
        <v>180</v>
      </c>
      <c r="C151" s="21">
        <v>1994</v>
      </c>
      <c r="D151" s="21" t="s">
        <v>469</v>
      </c>
      <c r="E151" s="21" t="s">
        <v>190</v>
      </c>
      <c r="F151" s="21">
        <v>1994</v>
      </c>
      <c r="G151" s="35" t="s">
        <v>191</v>
      </c>
      <c r="H151" s="21">
        <v>50000</v>
      </c>
      <c r="I151" s="21">
        <v>4</v>
      </c>
      <c r="J151" s="21">
        <f>1000000-50000</f>
        <v>950000</v>
      </c>
      <c r="K151" s="21">
        <v>34575</v>
      </c>
      <c r="M151" s="21">
        <v>100</v>
      </c>
    </row>
    <row r="152" spans="1:13" x14ac:dyDescent="0.3">
      <c r="A152" s="35" t="s">
        <v>179</v>
      </c>
      <c r="B152" s="35" t="s">
        <v>180</v>
      </c>
      <c r="C152" s="21">
        <v>1994</v>
      </c>
      <c r="D152" s="21" t="s">
        <v>469</v>
      </c>
      <c r="E152" s="21" t="s">
        <v>190</v>
      </c>
      <c r="F152" s="21">
        <v>1995</v>
      </c>
      <c r="G152" s="35" t="s">
        <v>191</v>
      </c>
      <c r="H152" s="21">
        <v>180000</v>
      </c>
      <c r="I152" s="21">
        <v>4.5</v>
      </c>
      <c r="J152" s="21">
        <f>J151-H152</f>
        <v>770000</v>
      </c>
      <c r="K152" s="21">
        <v>49862.5</v>
      </c>
      <c r="M152" s="21">
        <v>99.597999999999999</v>
      </c>
    </row>
    <row r="153" spans="1:13" x14ac:dyDescent="0.3">
      <c r="A153" s="35" t="s">
        <v>179</v>
      </c>
      <c r="B153" s="35" t="s">
        <v>180</v>
      </c>
      <c r="C153" s="21">
        <v>1994</v>
      </c>
      <c r="D153" s="21" t="s">
        <v>469</v>
      </c>
      <c r="E153" s="21" t="s">
        <v>190</v>
      </c>
      <c r="F153" s="21">
        <v>1996</v>
      </c>
      <c r="G153" s="35" t="s">
        <v>191</v>
      </c>
      <c r="H153" s="21">
        <v>195000</v>
      </c>
      <c r="I153" s="21">
        <v>5</v>
      </c>
      <c r="J153" s="21">
        <f t="shared" ref="J153:J156" si="6">J152-H153</f>
        <v>575000</v>
      </c>
      <c r="K153" s="21">
        <v>41762.5</v>
      </c>
      <c r="M153" s="21">
        <v>99.745999999999995</v>
      </c>
    </row>
    <row r="154" spans="1:13" x14ac:dyDescent="0.3">
      <c r="A154" s="35" t="s">
        <v>179</v>
      </c>
      <c r="B154" s="35" t="s">
        <v>180</v>
      </c>
      <c r="C154" s="21">
        <v>1994</v>
      </c>
      <c r="D154" s="21" t="s">
        <v>469</v>
      </c>
      <c r="E154" s="21" t="s">
        <v>190</v>
      </c>
      <c r="F154" s="21">
        <v>1997</v>
      </c>
      <c r="G154" s="35" t="s">
        <v>191</v>
      </c>
      <c r="H154" s="21">
        <v>205000</v>
      </c>
      <c r="I154" s="21">
        <v>5.5</v>
      </c>
      <c r="J154" s="21">
        <f t="shared" si="6"/>
        <v>370000</v>
      </c>
      <c r="K154" s="21">
        <v>32012.5</v>
      </c>
      <c r="M154" s="21">
        <v>100</v>
      </c>
    </row>
    <row r="155" spans="1:13" x14ac:dyDescent="0.3">
      <c r="A155" s="35" t="s">
        <v>179</v>
      </c>
      <c r="B155" s="35" t="s">
        <v>180</v>
      </c>
      <c r="C155" s="21">
        <v>1994</v>
      </c>
      <c r="D155" s="21" t="s">
        <v>469</v>
      </c>
      <c r="E155" s="21" t="s">
        <v>190</v>
      </c>
      <c r="F155" s="21">
        <v>1998</v>
      </c>
      <c r="G155" s="35" t="s">
        <v>191</v>
      </c>
      <c r="H155" s="21">
        <v>215000</v>
      </c>
      <c r="I155" s="21">
        <v>5.5</v>
      </c>
      <c r="J155" s="21">
        <f t="shared" si="6"/>
        <v>155000</v>
      </c>
      <c r="K155" s="21">
        <v>20737.5</v>
      </c>
      <c r="M155" s="21">
        <v>98.98</v>
      </c>
    </row>
    <row r="156" spans="1:13" x14ac:dyDescent="0.3">
      <c r="A156" s="35" t="s">
        <v>179</v>
      </c>
      <c r="B156" s="35" t="s">
        <v>180</v>
      </c>
      <c r="C156" s="21">
        <v>1994</v>
      </c>
      <c r="D156" s="21" t="s">
        <v>469</v>
      </c>
      <c r="E156" s="21" t="s">
        <v>190</v>
      </c>
      <c r="F156" s="21">
        <v>1999</v>
      </c>
      <c r="G156" s="35" t="s">
        <v>191</v>
      </c>
      <c r="H156" s="21">
        <v>155000</v>
      </c>
      <c r="I156" s="21">
        <v>5.75</v>
      </c>
      <c r="J156" s="21">
        <f t="shared" si="6"/>
        <v>0</v>
      </c>
      <c r="K156" s="21">
        <v>8912.5</v>
      </c>
      <c r="M156" s="21">
        <v>99.277000000000001</v>
      </c>
    </row>
    <row r="157" spans="1:13" x14ac:dyDescent="0.3">
      <c r="A157" s="35" t="s">
        <v>179</v>
      </c>
      <c r="B157" s="35" t="s">
        <v>180</v>
      </c>
      <c r="C157" s="21">
        <v>1992</v>
      </c>
      <c r="D157" s="21" t="s">
        <v>183</v>
      </c>
      <c r="E157" s="21" t="s">
        <v>195</v>
      </c>
      <c r="F157" s="21">
        <v>1992</v>
      </c>
      <c r="G157" s="21" t="s">
        <v>191</v>
      </c>
      <c r="H157" s="21">
        <v>30000</v>
      </c>
      <c r="J157" s="21">
        <f>3455000-H157</f>
        <v>3425000</v>
      </c>
      <c r="K157" s="21">
        <v>164779.9</v>
      </c>
    </row>
    <row r="158" spans="1:13" x14ac:dyDescent="0.3">
      <c r="A158" s="35" t="s">
        <v>179</v>
      </c>
      <c r="B158" s="35" t="s">
        <v>180</v>
      </c>
      <c r="C158" s="21">
        <v>1992</v>
      </c>
      <c r="D158" s="21" t="s">
        <v>183</v>
      </c>
      <c r="E158" s="21" t="s">
        <v>195</v>
      </c>
      <c r="F158" s="21">
        <v>1993</v>
      </c>
      <c r="G158" s="21" t="s">
        <v>191</v>
      </c>
      <c r="H158" s="21">
        <v>20000</v>
      </c>
      <c r="J158" s="21">
        <f>J157-H158</f>
        <v>3405000</v>
      </c>
      <c r="K158" s="21">
        <v>260531.25</v>
      </c>
    </row>
    <row r="159" spans="1:13" x14ac:dyDescent="0.3">
      <c r="A159" s="35" t="s">
        <v>179</v>
      </c>
      <c r="B159" s="35" t="s">
        <v>180</v>
      </c>
      <c r="C159" s="21">
        <v>1992</v>
      </c>
      <c r="D159" s="21" t="s">
        <v>183</v>
      </c>
      <c r="E159" s="21" t="s">
        <v>195</v>
      </c>
      <c r="F159" s="21">
        <v>1994</v>
      </c>
      <c r="G159" s="21" t="s">
        <v>191</v>
      </c>
      <c r="H159" s="21">
        <v>25000</v>
      </c>
      <c r="J159" s="21">
        <f t="shared" ref="J159:J182" si="7">J158-H159</f>
        <v>3380000</v>
      </c>
      <c r="K159" s="21">
        <v>259231.25</v>
      </c>
    </row>
    <row r="160" spans="1:13" x14ac:dyDescent="0.3">
      <c r="A160" s="35" t="s">
        <v>179</v>
      </c>
      <c r="B160" s="35" t="s">
        <v>180</v>
      </c>
      <c r="C160" s="21">
        <v>1992</v>
      </c>
      <c r="D160" s="21" t="s">
        <v>183</v>
      </c>
      <c r="E160" s="21" t="s">
        <v>195</v>
      </c>
      <c r="F160" s="21">
        <v>1995</v>
      </c>
      <c r="G160" s="21" t="s">
        <v>191</v>
      </c>
      <c r="H160" s="21">
        <v>25000</v>
      </c>
      <c r="J160" s="21">
        <f t="shared" si="7"/>
        <v>3355000</v>
      </c>
      <c r="K160" s="21">
        <v>257606.25</v>
      </c>
    </row>
    <row r="161" spans="1:13" x14ac:dyDescent="0.3">
      <c r="A161" s="35" t="s">
        <v>179</v>
      </c>
      <c r="B161" s="35" t="s">
        <v>180</v>
      </c>
      <c r="C161" s="21">
        <v>1992</v>
      </c>
      <c r="D161" s="21" t="s">
        <v>183</v>
      </c>
      <c r="E161" s="21" t="s">
        <v>195</v>
      </c>
      <c r="F161" s="21">
        <v>1996</v>
      </c>
      <c r="G161" s="21" t="s">
        <v>191</v>
      </c>
      <c r="H161" s="21">
        <v>25000</v>
      </c>
      <c r="J161" s="21">
        <f t="shared" si="7"/>
        <v>3330000</v>
      </c>
      <c r="K161" s="52">
        <v>255981.25</v>
      </c>
    </row>
    <row r="162" spans="1:13" x14ac:dyDescent="0.3">
      <c r="A162" s="35" t="s">
        <v>179</v>
      </c>
      <c r="B162" s="35" t="s">
        <v>180</v>
      </c>
      <c r="C162" s="21">
        <v>1992</v>
      </c>
      <c r="D162" s="21" t="s">
        <v>183</v>
      </c>
      <c r="E162" s="21" t="s">
        <v>190</v>
      </c>
      <c r="F162" s="21">
        <v>1997</v>
      </c>
      <c r="G162" s="21" t="s">
        <v>191</v>
      </c>
      <c r="H162" s="21">
        <v>30000</v>
      </c>
      <c r="I162" s="21">
        <v>6.5</v>
      </c>
      <c r="J162" s="21">
        <f t="shared" si="7"/>
        <v>3300000</v>
      </c>
      <c r="K162" s="52">
        <v>254356.25</v>
      </c>
      <c r="M162" s="21">
        <v>99.528999999999996</v>
      </c>
    </row>
    <row r="163" spans="1:13" x14ac:dyDescent="0.3">
      <c r="A163" s="35" t="s">
        <v>179</v>
      </c>
      <c r="B163" s="35" t="s">
        <v>180</v>
      </c>
      <c r="C163" s="21">
        <v>1992</v>
      </c>
      <c r="D163" s="21" t="s">
        <v>183</v>
      </c>
      <c r="E163" s="21" t="s">
        <v>195</v>
      </c>
      <c r="F163" s="21">
        <v>1998</v>
      </c>
      <c r="G163" s="21" t="s">
        <v>191</v>
      </c>
      <c r="H163" s="21">
        <v>30000</v>
      </c>
      <c r="J163" s="21">
        <f t="shared" si="7"/>
        <v>3270000</v>
      </c>
      <c r="K163" s="52">
        <v>252406.25</v>
      </c>
    </row>
    <row r="164" spans="1:13" x14ac:dyDescent="0.3">
      <c r="A164" s="35" t="s">
        <v>179</v>
      </c>
      <c r="B164" s="35" t="s">
        <v>180</v>
      </c>
      <c r="C164" s="21">
        <v>1992</v>
      </c>
      <c r="D164" s="21" t="s">
        <v>183</v>
      </c>
      <c r="E164" s="21" t="s">
        <v>195</v>
      </c>
      <c r="F164" s="21">
        <v>1999</v>
      </c>
      <c r="G164" s="21" t="s">
        <v>191</v>
      </c>
      <c r="H164" s="21">
        <v>35000</v>
      </c>
      <c r="J164" s="21">
        <f t="shared" si="7"/>
        <v>3235000</v>
      </c>
      <c r="K164" s="52">
        <v>250306.25</v>
      </c>
    </row>
    <row r="165" spans="1:13" x14ac:dyDescent="0.3">
      <c r="A165" s="35" t="s">
        <v>179</v>
      </c>
      <c r="B165" s="35" t="s">
        <v>180</v>
      </c>
      <c r="C165" s="21">
        <v>1992</v>
      </c>
      <c r="D165" s="21" t="s">
        <v>183</v>
      </c>
      <c r="E165" s="21" t="s">
        <v>195</v>
      </c>
      <c r="F165" s="21">
        <v>2000</v>
      </c>
      <c r="G165" s="21" t="s">
        <v>191</v>
      </c>
      <c r="H165" s="21">
        <v>35000</v>
      </c>
      <c r="J165" s="21">
        <f t="shared" si="7"/>
        <v>3200000</v>
      </c>
      <c r="K165" s="52">
        <v>247856.25</v>
      </c>
    </row>
    <row r="166" spans="1:13" x14ac:dyDescent="0.3">
      <c r="A166" s="35" t="s">
        <v>179</v>
      </c>
      <c r="B166" s="35" t="s">
        <v>180</v>
      </c>
      <c r="C166" s="21">
        <v>1992</v>
      </c>
      <c r="D166" s="21" t="s">
        <v>183</v>
      </c>
      <c r="E166" s="21" t="s">
        <v>195</v>
      </c>
      <c r="F166" s="21">
        <v>2001</v>
      </c>
      <c r="G166" s="21" t="s">
        <v>191</v>
      </c>
      <c r="H166" s="21">
        <v>35000</v>
      </c>
      <c r="J166" s="21">
        <f t="shared" si="7"/>
        <v>3165000</v>
      </c>
      <c r="K166" s="52">
        <v>245406.25</v>
      </c>
    </row>
    <row r="167" spans="1:13" x14ac:dyDescent="0.3">
      <c r="A167" s="35" t="s">
        <v>179</v>
      </c>
      <c r="B167" s="35" t="s">
        <v>180</v>
      </c>
      <c r="C167" s="21">
        <v>1992</v>
      </c>
      <c r="D167" s="21" t="s">
        <v>183</v>
      </c>
      <c r="E167" s="21" t="s">
        <v>190</v>
      </c>
      <c r="F167" s="21">
        <v>2002</v>
      </c>
      <c r="G167" s="21" t="s">
        <v>191</v>
      </c>
      <c r="H167" s="21">
        <v>40000</v>
      </c>
      <c r="I167" s="21">
        <v>7</v>
      </c>
      <c r="J167" s="21">
        <f t="shared" si="7"/>
        <v>3125000</v>
      </c>
      <c r="K167" s="52">
        <v>242956.25</v>
      </c>
      <c r="M167" s="21">
        <v>99.254000000000005</v>
      </c>
    </row>
    <row r="168" spans="1:13" x14ac:dyDescent="0.3">
      <c r="A168" s="35" t="s">
        <v>179</v>
      </c>
      <c r="B168" s="35" t="s">
        <v>180</v>
      </c>
      <c r="C168" s="21">
        <v>1992</v>
      </c>
      <c r="D168" s="21" t="s">
        <v>183</v>
      </c>
      <c r="E168" s="21" t="s">
        <v>195</v>
      </c>
      <c r="F168" s="21">
        <v>2003</v>
      </c>
      <c r="G168" s="21" t="s">
        <v>191</v>
      </c>
      <c r="H168" s="21">
        <v>40000</v>
      </c>
      <c r="J168" s="21">
        <f t="shared" si="7"/>
        <v>3085000</v>
      </c>
      <c r="K168" s="52">
        <v>240156.25</v>
      </c>
    </row>
    <row r="169" spans="1:13" x14ac:dyDescent="0.3">
      <c r="A169" s="35" t="s">
        <v>179</v>
      </c>
      <c r="B169" s="35" t="s">
        <v>180</v>
      </c>
      <c r="C169" s="21">
        <v>1992</v>
      </c>
      <c r="D169" s="21" t="s">
        <v>183</v>
      </c>
      <c r="E169" s="21" t="s">
        <v>195</v>
      </c>
      <c r="F169" s="21">
        <v>2004</v>
      </c>
      <c r="G169" s="21" t="s">
        <v>191</v>
      </c>
      <c r="H169" s="21">
        <v>45000</v>
      </c>
      <c r="J169" s="21">
        <f t="shared" si="7"/>
        <v>3040000</v>
      </c>
      <c r="K169" s="52">
        <v>237206.25</v>
      </c>
    </row>
    <row r="170" spans="1:13" x14ac:dyDescent="0.3">
      <c r="A170" s="35" t="s">
        <v>179</v>
      </c>
      <c r="B170" s="35" t="s">
        <v>180</v>
      </c>
      <c r="C170" s="21">
        <v>1992</v>
      </c>
      <c r="D170" s="21" t="s">
        <v>183</v>
      </c>
      <c r="E170" s="21" t="s">
        <v>195</v>
      </c>
      <c r="F170" s="21">
        <v>2005</v>
      </c>
      <c r="G170" s="21" t="s">
        <v>191</v>
      </c>
      <c r="H170" s="21">
        <v>50000</v>
      </c>
      <c r="J170" s="21">
        <f t="shared" si="7"/>
        <v>2990000</v>
      </c>
      <c r="K170" s="52">
        <v>233887.5</v>
      </c>
    </row>
    <row r="171" spans="1:13" x14ac:dyDescent="0.3">
      <c r="A171" s="35" t="s">
        <v>179</v>
      </c>
      <c r="B171" s="35" t="s">
        <v>180</v>
      </c>
      <c r="C171" s="21">
        <v>1992</v>
      </c>
      <c r="D171" s="21" t="s">
        <v>183</v>
      </c>
      <c r="E171" s="21" t="s">
        <v>195</v>
      </c>
      <c r="F171" s="21">
        <v>2006</v>
      </c>
      <c r="G171" s="21" t="s">
        <v>191</v>
      </c>
      <c r="H171" s="21">
        <v>50000</v>
      </c>
      <c r="J171" s="21">
        <f t="shared" si="7"/>
        <v>2940000</v>
      </c>
      <c r="K171" s="52">
        <v>230200</v>
      </c>
    </row>
    <row r="172" spans="1:13" x14ac:dyDescent="0.3">
      <c r="A172" s="35" t="s">
        <v>179</v>
      </c>
      <c r="B172" s="35" t="s">
        <v>180</v>
      </c>
      <c r="C172" s="21">
        <v>1992</v>
      </c>
      <c r="D172" s="21" t="s">
        <v>183</v>
      </c>
      <c r="E172" s="21" t="s">
        <v>195</v>
      </c>
      <c r="F172" s="21">
        <v>2007</v>
      </c>
      <c r="G172" s="21" t="s">
        <v>191</v>
      </c>
      <c r="H172" s="21">
        <v>55000</v>
      </c>
      <c r="J172" s="21">
        <f t="shared" si="7"/>
        <v>2885000</v>
      </c>
      <c r="K172" s="52">
        <v>226512.5</v>
      </c>
    </row>
    <row r="173" spans="1:13" x14ac:dyDescent="0.3">
      <c r="A173" s="35" t="s">
        <v>179</v>
      </c>
      <c r="B173" s="35" t="s">
        <v>180</v>
      </c>
      <c r="C173" s="21">
        <v>1992</v>
      </c>
      <c r="D173" s="21" t="s">
        <v>183</v>
      </c>
      <c r="E173" s="21" t="s">
        <v>190</v>
      </c>
      <c r="F173" s="21">
        <v>2008</v>
      </c>
      <c r="G173" s="21" t="s">
        <v>191</v>
      </c>
      <c r="H173" s="21">
        <v>60000</v>
      </c>
      <c r="I173" s="21">
        <v>7.375</v>
      </c>
      <c r="J173" s="21">
        <f t="shared" si="7"/>
        <v>2825000</v>
      </c>
      <c r="K173" s="52">
        <v>222456.25</v>
      </c>
      <c r="M173" s="21">
        <v>98.813000000000002</v>
      </c>
    </row>
    <row r="174" spans="1:13" x14ac:dyDescent="0.3">
      <c r="A174" s="35" t="s">
        <v>179</v>
      </c>
      <c r="B174" s="35" t="s">
        <v>180</v>
      </c>
      <c r="C174" s="21">
        <v>1992</v>
      </c>
      <c r="D174" s="21" t="s">
        <v>183</v>
      </c>
      <c r="E174" s="21" t="s">
        <v>195</v>
      </c>
      <c r="F174" s="21">
        <v>2009</v>
      </c>
      <c r="G174" s="21" t="s">
        <v>191</v>
      </c>
      <c r="H174" s="21">
        <v>65000</v>
      </c>
      <c r="J174" s="21">
        <f t="shared" si="7"/>
        <v>2760000</v>
      </c>
      <c r="K174" s="52">
        <v>218031.25</v>
      </c>
    </row>
    <row r="175" spans="1:13" x14ac:dyDescent="0.3">
      <c r="A175" s="35" t="s">
        <v>179</v>
      </c>
      <c r="B175" s="35" t="s">
        <v>180</v>
      </c>
      <c r="C175" s="21">
        <v>1992</v>
      </c>
      <c r="D175" s="21" t="s">
        <v>183</v>
      </c>
      <c r="E175" s="21" t="s">
        <v>195</v>
      </c>
      <c r="F175" s="21">
        <v>2010</v>
      </c>
      <c r="G175" s="21" t="s">
        <v>191</v>
      </c>
      <c r="H175" s="21">
        <v>70000</v>
      </c>
      <c r="J175" s="21">
        <f t="shared" si="7"/>
        <v>2690000</v>
      </c>
      <c r="K175" s="52">
        <v>213075</v>
      </c>
    </row>
    <row r="176" spans="1:13" x14ac:dyDescent="0.3">
      <c r="A176" s="35" t="s">
        <v>179</v>
      </c>
      <c r="B176" s="35" t="s">
        <v>180</v>
      </c>
      <c r="C176" s="21">
        <v>1992</v>
      </c>
      <c r="D176" s="21" t="s">
        <v>183</v>
      </c>
      <c r="E176" s="21" t="s">
        <v>195</v>
      </c>
      <c r="F176" s="21">
        <v>2011</v>
      </c>
      <c r="G176" s="21" t="s">
        <v>191</v>
      </c>
      <c r="H176" s="21">
        <v>75000</v>
      </c>
      <c r="J176" s="21">
        <f t="shared" si="7"/>
        <v>2615000</v>
      </c>
      <c r="K176" s="52">
        <v>207737.5</v>
      </c>
    </row>
    <row r="177" spans="1:13" x14ac:dyDescent="0.3">
      <c r="A177" s="35" t="s">
        <v>179</v>
      </c>
      <c r="B177" s="35" t="s">
        <v>180</v>
      </c>
      <c r="C177" s="21">
        <v>1992</v>
      </c>
      <c r="D177" s="21" t="s">
        <v>183</v>
      </c>
      <c r="E177" s="21" t="s">
        <v>195</v>
      </c>
      <c r="F177" s="21">
        <v>2012</v>
      </c>
      <c r="G177" s="21" t="s">
        <v>191</v>
      </c>
      <c r="H177" s="21">
        <v>80000</v>
      </c>
      <c r="J177" s="21">
        <f t="shared" si="7"/>
        <v>2535000</v>
      </c>
      <c r="K177" s="52">
        <v>202018.75</v>
      </c>
    </row>
    <row r="178" spans="1:13" x14ac:dyDescent="0.3">
      <c r="A178" s="35" t="s">
        <v>179</v>
      </c>
      <c r="B178" s="35" t="s">
        <v>180</v>
      </c>
      <c r="C178" s="21">
        <v>1992</v>
      </c>
      <c r="D178" s="21" t="s">
        <v>183</v>
      </c>
      <c r="E178" s="21" t="s">
        <v>190</v>
      </c>
      <c r="F178" s="21">
        <v>2013</v>
      </c>
      <c r="G178" s="21" t="s">
        <v>191</v>
      </c>
      <c r="H178" s="21">
        <v>435000</v>
      </c>
      <c r="I178" s="21">
        <v>7.625</v>
      </c>
      <c r="J178" s="21">
        <f t="shared" si="7"/>
        <v>2100000</v>
      </c>
      <c r="K178" s="52">
        <v>195918.75</v>
      </c>
      <c r="M178" s="21">
        <v>98.686999999999998</v>
      </c>
    </row>
    <row r="179" spans="1:13" x14ac:dyDescent="0.3">
      <c r="A179" s="35" t="s">
        <v>179</v>
      </c>
      <c r="B179" s="35" t="s">
        <v>180</v>
      </c>
      <c r="C179" s="21">
        <v>1992</v>
      </c>
      <c r="D179" s="21" t="s">
        <v>183</v>
      </c>
      <c r="E179" s="21" t="s">
        <v>195</v>
      </c>
      <c r="F179" s="21">
        <v>2014</v>
      </c>
      <c r="G179" s="21" t="s">
        <v>191</v>
      </c>
      <c r="H179" s="21">
        <v>465000</v>
      </c>
      <c r="J179" s="21">
        <f t="shared" si="7"/>
        <v>1635000</v>
      </c>
      <c r="K179" s="52">
        <v>162750</v>
      </c>
    </row>
    <row r="180" spans="1:13" x14ac:dyDescent="0.3">
      <c r="A180" s="35" t="s">
        <v>179</v>
      </c>
      <c r="B180" s="35" t="s">
        <v>180</v>
      </c>
      <c r="C180" s="21">
        <v>1992</v>
      </c>
      <c r="D180" s="21" t="s">
        <v>183</v>
      </c>
      <c r="E180" s="21" t="s">
        <v>195</v>
      </c>
      <c r="F180" s="21">
        <v>2015</v>
      </c>
      <c r="G180" s="21" t="s">
        <v>191</v>
      </c>
      <c r="H180" s="21">
        <v>505000</v>
      </c>
      <c r="J180" s="21">
        <f t="shared" si="7"/>
        <v>1130000</v>
      </c>
      <c r="K180" s="52">
        <v>126712.5</v>
      </c>
    </row>
    <row r="181" spans="1:13" x14ac:dyDescent="0.3">
      <c r="A181" s="35" t="s">
        <v>179</v>
      </c>
      <c r="B181" s="35" t="s">
        <v>180</v>
      </c>
      <c r="C181" s="21">
        <v>1992</v>
      </c>
      <c r="D181" s="21" t="s">
        <v>183</v>
      </c>
      <c r="E181" s="21" t="s">
        <v>195</v>
      </c>
      <c r="F181" s="21">
        <v>2016</v>
      </c>
      <c r="G181" s="21" t="s">
        <v>191</v>
      </c>
      <c r="H181" s="21">
        <v>545000</v>
      </c>
      <c r="J181" s="21">
        <f t="shared" si="7"/>
        <v>585000</v>
      </c>
      <c r="K181" s="52">
        <v>87575</v>
      </c>
    </row>
    <row r="182" spans="1:13" x14ac:dyDescent="0.3">
      <c r="A182" s="35" t="s">
        <v>179</v>
      </c>
      <c r="B182" s="35" t="s">
        <v>180</v>
      </c>
      <c r="C182" s="21">
        <v>1992</v>
      </c>
      <c r="D182" s="21" t="s">
        <v>183</v>
      </c>
      <c r="E182" s="21" t="s">
        <v>190</v>
      </c>
      <c r="F182" s="21">
        <v>2017</v>
      </c>
      <c r="G182" s="21" t="s">
        <v>191</v>
      </c>
      <c r="H182" s="21">
        <v>585000</v>
      </c>
      <c r="I182" s="21">
        <v>7.75</v>
      </c>
      <c r="J182" s="21">
        <f t="shared" si="7"/>
        <v>0</v>
      </c>
      <c r="K182" s="52">
        <v>45337.5</v>
      </c>
      <c r="M182" s="21">
        <v>98.35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2"/>
  <sheetViews>
    <sheetView topLeftCell="A9" workbookViewId="0">
      <selection activeCell="A29" sqref="A29:B32"/>
    </sheetView>
  </sheetViews>
  <sheetFormatPr defaultRowHeight="14.4" x14ac:dyDescent="0.3"/>
  <cols>
    <col min="1" max="3" width="8.88671875" style="1"/>
    <col min="4" max="4" width="12.5546875" style="1" bestFit="1" customWidth="1"/>
    <col min="5" max="16384" width="8.88671875" style="1"/>
  </cols>
  <sheetData>
    <row r="1" spans="1:6" x14ac:dyDescent="0.3">
      <c r="A1" s="2" t="s">
        <v>0</v>
      </c>
      <c r="B1" s="2" t="s">
        <v>27</v>
      </c>
      <c r="C1" s="2" t="s">
        <v>2</v>
      </c>
      <c r="D1" s="5" t="s">
        <v>3</v>
      </c>
      <c r="E1" s="4" t="s">
        <v>107</v>
      </c>
      <c r="F1" s="4" t="s">
        <v>96</v>
      </c>
    </row>
    <row r="2" spans="1:6" x14ac:dyDescent="0.3">
      <c r="A2" t="s">
        <v>179</v>
      </c>
      <c r="B2" s="1" t="s">
        <v>180</v>
      </c>
      <c r="C2" s="1">
        <v>2019</v>
      </c>
      <c r="D2" s="22">
        <v>7806487.2999999998</v>
      </c>
      <c r="E2" s="1" t="s">
        <v>196</v>
      </c>
    </row>
    <row r="3" spans="1:6" x14ac:dyDescent="0.3">
      <c r="A3" t="s">
        <v>179</v>
      </c>
      <c r="B3" s="1" t="s">
        <v>180</v>
      </c>
      <c r="C3" s="1">
        <v>2019</v>
      </c>
      <c r="D3" s="22">
        <v>1828011.38</v>
      </c>
      <c r="E3" s="1" t="s">
        <v>197</v>
      </c>
    </row>
    <row r="4" spans="1:6" x14ac:dyDescent="0.3">
      <c r="A4" t="s">
        <v>179</v>
      </c>
      <c r="B4" s="1" t="s">
        <v>180</v>
      </c>
      <c r="C4" s="1">
        <v>2019</v>
      </c>
      <c r="D4" s="22">
        <v>16066.17</v>
      </c>
      <c r="E4" s="1" t="s">
        <v>198</v>
      </c>
    </row>
    <row r="5" spans="1:6" x14ac:dyDescent="0.3">
      <c r="A5" t="s">
        <v>179</v>
      </c>
      <c r="B5" s="1" t="s">
        <v>180</v>
      </c>
      <c r="C5" s="1">
        <v>2019</v>
      </c>
      <c r="D5" s="22">
        <v>240588.35</v>
      </c>
      <c r="E5" s="1" t="s">
        <v>199</v>
      </c>
    </row>
    <row r="6" spans="1:6" x14ac:dyDescent="0.3">
      <c r="A6" t="s">
        <v>179</v>
      </c>
      <c r="B6" s="1" t="s">
        <v>180</v>
      </c>
      <c r="C6" s="1">
        <v>2018</v>
      </c>
      <c r="D6" s="31">
        <v>7821673.4199999999</v>
      </c>
      <c r="E6" s="1" t="s">
        <v>196</v>
      </c>
    </row>
    <row r="7" spans="1:6" x14ac:dyDescent="0.3">
      <c r="A7" t="s">
        <v>179</v>
      </c>
      <c r="B7" s="1" t="s">
        <v>180</v>
      </c>
      <c r="C7" s="1">
        <v>2018</v>
      </c>
      <c r="D7" s="31">
        <v>1857625.49</v>
      </c>
      <c r="E7" s="1" t="s">
        <v>197</v>
      </c>
    </row>
    <row r="8" spans="1:6" x14ac:dyDescent="0.3">
      <c r="A8" t="s">
        <v>179</v>
      </c>
      <c r="B8" s="1" t="s">
        <v>180</v>
      </c>
      <c r="C8" s="1">
        <v>2018</v>
      </c>
      <c r="D8" s="31">
        <v>17224.36</v>
      </c>
      <c r="E8" s="1" t="s">
        <v>198</v>
      </c>
    </row>
    <row r="9" spans="1:6" x14ac:dyDescent="0.3">
      <c r="A9" t="s">
        <v>179</v>
      </c>
      <c r="B9" s="1" t="s">
        <v>180</v>
      </c>
      <c r="C9" s="1">
        <v>2018</v>
      </c>
      <c r="D9" s="31">
        <v>234639.08</v>
      </c>
      <c r="E9" s="1" t="s">
        <v>199</v>
      </c>
    </row>
    <row r="10" spans="1:6" x14ac:dyDescent="0.3">
      <c r="A10" t="s">
        <v>179</v>
      </c>
      <c r="B10" s="1" t="s">
        <v>180</v>
      </c>
      <c r="C10" s="1">
        <v>2017</v>
      </c>
      <c r="D10" s="1">
        <v>1000000</v>
      </c>
      <c r="E10" s="1" t="s">
        <v>196</v>
      </c>
    </row>
    <row r="11" spans="1:6" x14ac:dyDescent="0.3">
      <c r="A11" t="s">
        <v>179</v>
      </c>
      <c r="B11" s="1" t="s">
        <v>180</v>
      </c>
      <c r="C11" s="1">
        <v>2017</v>
      </c>
      <c r="D11" s="1">
        <v>1870358.75</v>
      </c>
      <c r="E11" s="1" t="s">
        <v>356</v>
      </c>
    </row>
    <row r="12" spans="1:6" x14ac:dyDescent="0.3">
      <c r="A12" t="s">
        <v>179</v>
      </c>
      <c r="B12" s="1" t="s">
        <v>180</v>
      </c>
      <c r="C12" s="1">
        <v>2017</v>
      </c>
      <c r="D12" s="1">
        <v>1108180.1100000001</v>
      </c>
      <c r="E12" s="1" t="s">
        <v>357</v>
      </c>
    </row>
    <row r="13" spans="1:6" x14ac:dyDescent="0.3">
      <c r="A13" t="s">
        <v>179</v>
      </c>
      <c r="B13" s="1" t="s">
        <v>180</v>
      </c>
      <c r="C13" s="1">
        <v>2017</v>
      </c>
      <c r="D13" s="1">
        <v>3446941.12</v>
      </c>
      <c r="E13" s="1" t="s">
        <v>358</v>
      </c>
    </row>
    <row r="14" spans="1:6" x14ac:dyDescent="0.3">
      <c r="A14" t="s">
        <v>179</v>
      </c>
      <c r="B14" s="1" t="s">
        <v>180</v>
      </c>
      <c r="C14" s="1">
        <v>2017</v>
      </c>
      <c r="D14" s="1">
        <v>191662.75</v>
      </c>
      <c r="E14" s="1" t="s">
        <v>359</v>
      </c>
    </row>
    <row r="15" spans="1:6" x14ac:dyDescent="0.3">
      <c r="A15" t="s">
        <v>179</v>
      </c>
      <c r="B15" s="1" t="s">
        <v>180</v>
      </c>
      <c r="C15" s="1">
        <v>2017</v>
      </c>
      <c r="D15" s="1">
        <v>224250.12</v>
      </c>
      <c r="E15" s="1" t="s">
        <v>199</v>
      </c>
    </row>
    <row r="16" spans="1:6" x14ac:dyDescent="0.3">
      <c r="A16" t="s">
        <v>179</v>
      </c>
      <c r="B16" s="1" t="s">
        <v>180</v>
      </c>
      <c r="C16" s="1">
        <v>2003</v>
      </c>
      <c r="D16" s="1">
        <v>6075643</v>
      </c>
      <c r="E16" s="1" t="s">
        <v>360</v>
      </c>
    </row>
    <row r="17" spans="1:5" x14ac:dyDescent="0.3">
      <c r="A17" t="s">
        <v>179</v>
      </c>
      <c r="B17" s="1" t="s">
        <v>180</v>
      </c>
      <c r="C17" s="1">
        <v>2003</v>
      </c>
      <c r="D17" s="1">
        <v>266156.15000000002</v>
      </c>
      <c r="E17" s="1" t="s">
        <v>361</v>
      </c>
    </row>
    <row r="18" spans="1:5" x14ac:dyDescent="0.3">
      <c r="A18" t="s">
        <v>179</v>
      </c>
      <c r="B18" s="1" t="s">
        <v>180</v>
      </c>
      <c r="C18" s="1">
        <v>2003</v>
      </c>
      <c r="D18" s="1">
        <v>303200.84999999998</v>
      </c>
      <c r="E18" s="1" t="s">
        <v>199</v>
      </c>
    </row>
    <row r="19" spans="1:5" x14ac:dyDescent="0.3">
      <c r="A19" s="1" t="s">
        <v>179</v>
      </c>
      <c r="B19" s="1" t="s">
        <v>180</v>
      </c>
      <c r="C19" s="1">
        <v>1998</v>
      </c>
      <c r="D19" s="1">
        <v>1226138.8600000001</v>
      </c>
      <c r="E19" s="1" t="s">
        <v>424</v>
      </c>
    </row>
    <row r="20" spans="1:5" x14ac:dyDescent="0.3">
      <c r="A20" s="1" t="s">
        <v>179</v>
      </c>
      <c r="B20" s="1" t="s">
        <v>180</v>
      </c>
      <c r="C20" s="1">
        <v>1998</v>
      </c>
      <c r="D20" s="1">
        <v>464525.44</v>
      </c>
      <c r="E20" s="1" t="s">
        <v>425</v>
      </c>
    </row>
    <row r="21" spans="1:5" x14ac:dyDescent="0.3">
      <c r="A21" s="1" t="s">
        <v>179</v>
      </c>
      <c r="B21" s="1" t="s">
        <v>180</v>
      </c>
      <c r="C21" s="1">
        <v>1998</v>
      </c>
      <c r="D21" s="1">
        <v>9980</v>
      </c>
      <c r="E21" s="1" t="s">
        <v>198</v>
      </c>
    </row>
    <row r="22" spans="1:5" x14ac:dyDescent="0.3">
      <c r="A22" s="1" t="s">
        <v>179</v>
      </c>
      <c r="B22" s="1" t="s">
        <v>180</v>
      </c>
      <c r="C22" s="1">
        <v>1998</v>
      </c>
      <c r="D22" s="1">
        <v>119355.7</v>
      </c>
      <c r="E22" s="1" t="s">
        <v>199</v>
      </c>
    </row>
    <row r="23" spans="1:5" x14ac:dyDescent="0.3">
      <c r="A23" s="1" t="s">
        <v>179</v>
      </c>
      <c r="B23" s="1" t="s">
        <v>180</v>
      </c>
      <c r="C23" s="1">
        <v>1995</v>
      </c>
      <c r="D23" s="1">
        <v>875000</v>
      </c>
      <c r="E23" s="1" t="s">
        <v>450</v>
      </c>
    </row>
    <row r="24" spans="1:5" x14ac:dyDescent="0.3">
      <c r="A24" s="1" t="s">
        <v>179</v>
      </c>
      <c r="B24" s="1" t="s">
        <v>180</v>
      </c>
      <c r="C24" s="1">
        <v>1995</v>
      </c>
      <c r="D24" s="1">
        <v>95650</v>
      </c>
      <c r="E24" s="1" t="s">
        <v>198</v>
      </c>
    </row>
    <row r="25" spans="1:5" x14ac:dyDescent="0.3">
      <c r="A25" s="1" t="s">
        <v>179</v>
      </c>
      <c r="B25" s="1" t="s">
        <v>180</v>
      </c>
      <c r="C25" s="1">
        <v>1995</v>
      </c>
      <c r="D25" s="1">
        <v>94350</v>
      </c>
      <c r="E25" s="1" t="s">
        <v>199</v>
      </c>
    </row>
    <row r="26" spans="1:5" x14ac:dyDescent="0.3">
      <c r="A26" s="1" t="s">
        <v>179</v>
      </c>
      <c r="B26" s="1" t="s">
        <v>180</v>
      </c>
      <c r="C26" s="1">
        <v>1994</v>
      </c>
      <c r="D26" s="1">
        <v>7098654.5999999996</v>
      </c>
      <c r="E26" s="1" t="s">
        <v>472</v>
      </c>
    </row>
    <row r="27" spans="1:5" x14ac:dyDescent="0.3">
      <c r="A27" s="1" t="s">
        <v>179</v>
      </c>
      <c r="B27" s="1" t="s">
        <v>180</v>
      </c>
      <c r="C27" s="1">
        <v>1994</v>
      </c>
      <c r="D27" s="1">
        <v>100874.38</v>
      </c>
      <c r="E27" s="1" t="s">
        <v>197</v>
      </c>
    </row>
    <row r="28" spans="1:5" x14ac:dyDescent="0.3">
      <c r="A28" s="1" t="s">
        <v>179</v>
      </c>
      <c r="B28" s="1" t="s">
        <v>180</v>
      </c>
      <c r="C28" s="1">
        <v>1994</v>
      </c>
      <c r="D28" s="1">
        <v>590547.5</v>
      </c>
      <c r="E28" s="1" t="s">
        <v>198</v>
      </c>
    </row>
    <row r="29" spans="1:5" x14ac:dyDescent="0.3">
      <c r="A29" s="1" t="s">
        <v>179</v>
      </c>
      <c r="B29" s="1" t="s">
        <v>180</v>
      </c>
      <c r="C29" s="1">
        <v>1994</v>
      </c>
      <c r="D29" s="1">
        <v>597588.52</v>
      </c>
      <c r="E29" s="1" t="s">
        <v>199</v>
      </c>
    </row>
    <row r="30" spans="1:5" x14ac:dyDescent="0.3">
      <c r="A30" s="1" t="s">
        <v>179</v>
      </c>
      <c r="B30" s="1" t="s">
        <v>180</v>
      </c>
      <c r="C30" s="1">
        <v>1992</v>
      </c>
      <c r="D30" s="22">
        <v>3462000</v>
      </c>
      <c r="E30" s="1" t="s">
        <v>481</v>
      </c>
    </row>
    <row r="31" spans="1:5" x14ac:dyDescent="0.3">
      <c r="A31" s="1" t="s">
        <v>179</v>
      </c>
      <c r="B31" s="1" t="s">
        <v>180</v>
      </c>
      <c r="C31" s="1">
        <v>1992</v>
      </c>
      <c r="D31" s="22">
        <v>325185</v>
      </c>
      <c r="E31" s="1" t="s">
        <v>198</v>
      </c>
    </row>
    <row r="32" spans="1:5" x14ac:dyDescent="0.3">
      <c r="A32" s="1" t="s">
        <v>179</v>
      </c>
      <c r="B32" s="1" t="s">
        <v>180</v>
      </c>
      <c r="C32" s="1">
        <v>1992</v>
      </c>
      <c r="D32" s="22">
        <v>237434.32</v>
      </c>
      <c r="E32" s="1" t="s">
        <v>199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5"/>
  <sheetViews>
    <sheetView workbookViewId="0">
      <selection activeCell="A28" sqref="A28:C30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41.33203125" style="1" customWidth="1"/>
    <col min="5" max="5" width="11.21875" style="1" bestFit="1" customWidth="1"/>
    <col min="6" max="6" width="4.77734375" style="1" bestFit="1" customWidth="1"/>
    <col min="7" max="7" width="13.6640625" style="1" bestFit="1" customWidth="1"/>
    <col min="8" max="8" width="8.44140625" style="1" bestFit="1" customWidth="1"/>
    <col min="9" max="9" width="7.88671875" style="1" bestFit="1" customWidth="1"/>
    <col min="10" max="10" width="7.77734375" style="1" bestFit="1" customWidth="1"/>
    <col min="11" max="11" width="17.5546875" style="1" bestFit="1" customWidth="1"/>
    <col min="12" max="12" width="9.33203125" style="1" bestFit="1" customWidth="1"/>
    <col min="13" max="13" width="5.6640625" style="1" bestFit="1" customWidth="1"/>
    <col min="14" max="16384" width="8.886718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108</v>
      </c>
      <c r="E1" s="2" t="s">
        <v>24</v>
      </c>
      <c r="F1" s="2" t="s">
        <v>109</v>
      </c>
      <c r="G1" s="5" t="s">
        <v>3</v>
      </c>
      <c r="H1" s="4" t="s">
        <v>4</v>
      </c>
      <c r="I1" s="4" t="s">
        <v>5</v>
      </c>
      <c r="J1" s="6" t="s">
        <v>6</v>
      </c>
      <c r="K1" s="3" t="s">
        <v>7</v>
      </c>
      <c r="L1" s="4" t="s">
        <v>8</v>
      </c>
      <c r="M1" s="4" t="s">
        <v>96</v>
      </c>
    </row>
    <row r="2" spans="1:13" x14ac:dyDescent="0.3">
      <c r="A2" t="s">
        <v>179</v>
      </c>
      <c r="B2" s="1" t="s">
        <v>180</v>
      </c>
      <c r="C2" s="1">
        <v>2019</v>
      </c>
      <c r="D2" s="1" t="s">
        <v>200</v>
      </c>
      <c r="E2" s="1" t="s">
        <v>181</v>
      </c>
      <c r="F2" s="1" t="s">
        <v>201</v>
      </c>
      <c r="G2" s="13">
        <v>7020000</v>
      </c>
      <c r="H2" s="1">
        <v>2017</v>
      </c>
      <c r="K2" s="13">
        <v>6835000</v>
      </c>
      <c r="L2" s="1" t="s">
        <v>202</v>
      </c>
    </row>
    <row r="3" spans="1:13" x14ac:dyDescent="0.3">
      <c r="A3" t="s">
        <v>179</v>
      </c>
      <c r="B3" s="1" t="s">
        <v>180</v>
      </c>
      <c r="C3" s="1">
        <v>2019</v>
      </c>
      <c r="D3" s="1" t="s">
        <v>203</v>
      </c>
      <c r="E3" s="1" t="s">
        <v>181</v>
      </c>
      <c r="F3" s="1" t="s">
        <v>201</v>
      </c>
      <c r="G3" s="13">
        <v>10000000</v>
      </c>
      <c r="H3" s="1">
        <v>2018</v>
      </c>
      <c r="K3" s="13">
        <v>10000000</v>
      </c>
      <c r="L3" s="1" t="s">
        <v>204</v>
      </c>
    </row>
    <row r="4" spans="1:13" x14ac:dyDescent="0.3">
      <c r="A4" t="s">
        <v>179</v>
      </c>
      <c r="B4" s="1" t="s">
        <v>180</v>
      </c>
      <c r="C4" s="1">
        <v>2018</v>
      </c>
      <c r="D4" s="1" t="s">
        <v>333</v>
      </c>
      <c r="E4" s="1" t="s">
        <v>181</v>
      </c>
      <c r="F4" s="1" t="s">
        <v>201</v>
      </c>
      <c r="G4" s="13">
        <v>7020000</v>
      </c>
      <c r="H4" s="1">
        <v>2017</v>
      </c>
      <c r="K4" s="13">
        <v>7020000</v>
      </c>
      <c r="L4" s="1" t="s">
        <v>202</v>
      </c>
    </row>
    <row r="5" spans="1:13" x14ac:dyDescent="0.3">
      <c r="A5" t="s">
        <v>179</v>
      </c>
      <c r="B5" s="1" t="s">
        <v>180</v>
      </c>
      <c r="C5" s="1">
        <v>2017</v>
      </c>
      <c r="D5" s="1" t="s">
        <v>364</v>
      </c>
      <c r="E5" s="1" t="s">
        <v>181</v>
      </c>
      <c r="F5" s="1" t="s">
        <v>362</v>
      </c>
      <c r="G5" s="13">
        <v>4393092</v>
      </c>
      <c r="H5" s="1">
        <v>2001</v>
      </c>
      <c r="I5" s="1">
        <v>2022</v>
      </c>
      <c r="K5" s="13"/>
      <c r="L5" s="1" t="s">
        <v>363</v>
      </c>
    </row>
    <row r="6" spans="1:13" x14ac:dyDescent="0.3">
      <c r="A6" t="s">
        <v>179</v>
      </c>
      <c r="B6" s="1" t="s">
        <v>180</v>
      </c>
      <c r="C6" s="1">
        <v>2017</v>
      </c>
      <c r="D6" s="1" t="s">
        <v>365</v>
      </c>
      <c r="E6" s="1" t="s">
        <v>181</v>
      </c>
      <c r="F6" s="1" t="s">
        <v>201</v>
      </c>
      <c r="G6" s="13">
        <v>1820000</v>
      </c>
      <c r="H6" s="1">
        <v>1998</v>
      </c>
      <c r="I6" s="1">
        <v>2020</v>
      </c>
      <c r="J6" s="39">
        <v>5.5E-2</v>
      </c>
      <c r="K6" s="13"/>
      <c r="L6" s="1" t="s">
        <v>367</v>
      </c>
    </row>
    <row r="7" spans="1:13" x14ac:dyDescent="0.3">
      <c r="A7" t="s">
        <v>179</v>
      </c>
      <c r="B7" s="1" t="s">
        <v>180</v>
      </c>
      <c r="C7" s="1">
        <v>2017</v>
      </c>
      <c r="D7" s="1" t="s">
        <v>366</v>
      </c>
      <c r="E7" s="1" t="s">
        <v>181</v>
      </c>
      <c r="F7" s="1" t="s">
        <v>201</v>
      </c>
      <c r="G7" s="13">
        <v>6645000</v>
      </c>
      <c r="H7" s="1">
        <v>2003</v>
      </c>
      <c r="I7" s="1">
        <v>2017</v>
      </c>
      <c r="J7" s="30">
        <f>(1.1+4.6)/2/100</f>
        <v>2.8499999999999998E-2</v>
      </c>
      <c r="K7" s="13"/>
      <c r="L7" s="1" t="s">
        <v>367</v>
      </c>
    </row>
    <row r="8" spans="1:13" x14ac:dyDescent="0.3">
      <c r="A8" t="s">
        <v>179</v>
      </c>
      <c r="B8" s="1" t="s">
        <v>180</v>
      </c>
      <c r="C8" s="1">
        <v>2017</v>
      </c>
      <c r="D8" s="1" t="s">
        <v>368</v>
      </c>
      <c r="E8" s="1" t="s">
        <v>181</v>
      </c>
      <c r="F8" s="1" t="s">
        <v>201</v>
      </c>
      <c r="G8" s="13">
        <v>4000000</v>
      </c>
      <c r="H8" s="1">
        <v>2013</v>
      </c>
      <c r="I8" s="1">
        <v>2026</v>
      </c>
      <c r="J8" s="40">
        <v>0.05</v>
      </c>
      <c r="K8" s="13"/>
      <c r="L8" s="1" t="s">
        <v>367</v>
      </c>
    </row>
    <row r="9" spans="1:13" x14ac:dyDescent="0.3">
      <c r="A9" t="s">
        <v>179</v>
      </c>
      <c r="B9" s="1" t="s">
        <v>180</v>
      </c>
      <c r="C9" s="1">
        <v>2017</v>
      </c>
      <c r="D9" s="1" t="s">
        <v>369</v>
      </c>
      <c r="E9" s="1" t="s">
        <v>181</v>
      </c>
      <c r="F9" s="1" t="s">
        <v>362</v>
      </c>
      <c r="G9" s="13">
        <v>50906</v>
      </c>
      <c r="H9" s="1">
        <v>2016</v>
      </c>
      <c r="I9" s="1">
        <v>2019</v>
      </c>
      <c r="J9" s="30">
        <v>2.5000000000000001E-3</v>
      </c>
      <c r="K9" s="13"/>
      <c r="M9" s="1" t="s">
        <v>370</v>
      </c>
    </row>
    <row r="10" spans="1:13" x14ac:dyDescent="0.3">
      <c r="A10" t="s">
        <v>179</v>
      </c>
      <c r="B10" s="1" t="s">
        <v>180</v>
      </c>
      <c r="C10" s="1">
        <v>2003</v>
      </c>
      <c r="D10" s="1" t="s">
        <v>373</v>
      </c>
      <c r="E10" s="1" t="s">
        <v>181</v>
      </c>
      <c r="F10" s="1" t="s">
        <v>362</v>
      </c>
      <c r="G10" s="13">
        <v>764062</v>
      </c>
      <c r="H10" s="1">
        <v>1989</v>
      </c>
      <c r="K10" s="13">
        <v>245684</v>
      </c>
    </row>
    <row r="11" spans="1:13" x14ac:dyDescent="0.3">
      <c r="A11" t="s">
        <v>179</v>
      </c>
      <c r="B11" s="1" t="s">
        <v>180</v>
      </c>
      <c r="C11" s="1">
        <v>2003</v>
      </c>
      <c r="D11" s="1" t="s">
        <v>374</v>
      </c>
      <c r="E11" s="1" t="s">
        <v>181</v>
      </c>
      <c r="F11" s="1" t="s">
        <v>362</v>
      </c>
      <c r="G11" s="13">
        <v>404451</v>
      </c>
      <c r="H11" s="1">
        <v>1992</v>
      </c>
      <c r="K11" s="13">
        <v>251420</v>
      </c>
    </row>
    <row r="12" spans="1:13" x14ac:dyDescent="0.3">
      <c r="A12" t="s">
        <v>179</v>
      </c>
      <c r="B12" s="1" t="s">
        <v>180</v>
      </c>
      <c r="C12" s="1">
        <v>2003</v>
      </c>
      <c r="D12" s="1" t="s">
        <v>375</v>
      </c>
      <c r="E12" s="1" t="s">
        <v>181</v>
      </c>
      <c r="F12" s="1" t="s">
        <v>362</v>
      </c>
      <c r="G12" s="13">
        <v>259143</v>
      </c>
      <c r="H12" s="1">
        <v>1994</v>
      </c>
      <c r="K12" s="13">
        <v>174103</v>
      </c>
    </row>
    <row r="13" spans="1:13" x14ac:dyDescent="0.3">
      <c r="A13" t="s">
        <v>179</v>
      </c>
      <c r="B13" s="1" t="s">
        <v>180</v>
      </c>
      <c r="C13" s="1">
        <v>2003</v>
      </c>
      <c r="D13" s="1" t="s">
        <v>376</v>
      </c>
      <c r="E13" s="1" t="s">
        <v>181</v>
      </c>
      <c r="F13" s="1" t="s">
        <v>362</v>
      </c>
      <c r="G13" s="13">
        <v>605333</v>
      </c>
      <c r="H13" s="1">
        <v>1995</v>
      </c>
      <c r="K13" s="13">
        <v>371948</v>
      </c>
    </row>
    <row r="14" spans="1:13" x14ac:dyDescent="0.3">
      <c r="A14" t="s">
        <v>179</v>
      </c>
      <c r="B14" s="1" t="s">
        <v>180</v>
      </c>
      <c r="C14" s="1">
        <v>2003</v>
      </c>
      <c r="D14" s="1" t="s">
        <v>377</v>
      </c>
      <c r="E14" s="1" t="s">
        <v>181</v>
      </c>
      <c r="F14" s="1" t="s">
        <v>362</v>
      </c>
      <c r="G14" s="13">
        <v>4393097</v>
      </c>
      <c r="H14" s="1">
        <v>2001</v>
      </c>
      <c r="K14" s="13">
        <v>4205557</v>
      </c>
    </row>
    <row r="15" spans="1:13" x14ac:dyDescent="0.3">
      <c r="A15" t="s">
        <v>179</v>
      </c>
      <c r="B15" s="1" t="s">
        <v>180</v>
      </c>
      <c r="C15" s="1">
        <v>2003</v>
      </c>
      <c r="D15" s="1" t="s">
        <v>378</v>
      </c>
      <c r="E15" s="1" t="s">
        <v>181</v>
      </c>
      <c r="F15" s="1" t="s">
        <v>201</v>
      </c>
      <c r="G15" s="13">
        <v>7755000</v>
      </c>
      <c r="H15" s="1">
        <v>1994</v>
      </c>
      <c r="K15" s="13">
        <v>5930000</v>
      </c>
      <c r="M15" s="1" t="s">
        <v>379</v>
      </c>
    </row>
    <row r="16" spans="1:13" x14ac:dyDescent="0.3">
      <c r="A16" s="1" t="s">
        <v>179</v>
      </c>
      <c r="B16" s="1" t="s">
        <v>180</v>
      </c>
      <c r="C16" s="1">
        <v>1998</v>
      </c>
      <c r="D16" s="1" t="s">
        <v>426</v>
      </c>
      <c r="E16" s="1" t="s">
        <v>181</v>
      </c>
      <c r="F16" s="1" t="s">
        <v>201</v>
      </c>
      <c r="G16" s="13">
        <v>6755000</v>
      </c>
      <c r="H16" s="1">
        <v>1994</v>
      </c>
      <c r="I16" s="1">
        <v>1999</v>
      </c>
      <c r="J16" s="1" t="s">
        <v>427</v>
      </c>
      <c r="K16" s="13"/>
    </row>
    <row r="17" spans="1:11" x14ac:dyDescent="0.3">
      <c r="A17" s="1" t="s">
        <v>179</v>
      </c>
      <c r="B17" s="1" t="s">
        <v>180</v>
      </c>
      <c r="C17" s="1">
        <v>1998</v>
      </c>
      <c r="D17" s="1" t="s">
        <v>428</v>
      </c>
      <c r="E17" s="1" t="s">
        <v>181</v>
      </c>
      <c r="F17" s="1" t="s">
        <v>201</v>
      </c>
      <c r="G17" s="13">
        <v>1000000</v>
      </c>
      <c r="H17" s="1">
        <v>1994</v>
      </c>
      <c r="I17" s="1">
        <v>2017</v>
      </c>
      <c r="J17" s="1" t="s">
        <v>427</v>
      </c>
      <c r="K17" s="13"/>
    </row>
    <row r="18" spans="1:11" x14ac:dyDescent="0.3">
      <c r="A18" s="1" t="s">
        <v>179</v>
      </c>
      <c r="B18" s="1" t="s">
        <v>180</v>
      </c>
      <c r="C18" s="1">
        <v>1998</v>
      </c>
      <c r="D18" s="1" t="s">
        <v>429</v>
      </c>
      <c r="E18" s="1" t="s">
        <v>181</v>
      </c>
      <c r="F18" s="1" t="s">
        <v>201</v>
      </c>
      <c r="G18" s="13">
        <v>1065000</v>
      </c>
      <c r="H18" s="1">
        <v>1995</v>
      </c>
      <c r="I18" s="1">
        <v>2017</v>
      </c>
      <c r="J18" s="1" t="s">
        <v>430</v>
      </c>
      <c r="K18" s="13"/>
    </row>
    <row r="19" spans="1:11" x14ac:dyDescent="0.3">
      <c r="A19" s="1" t="s">
        <v>179</v>
      </c>
      <c r="B19" s="1" t="s">
        <v>180</v>
      </c>
      <c r="C19" s="1">
        <v>1995</v>
      </c>
      <c r="D19" s="1" t="s">
        <v>451</v>
      </c>
      <c r="E19" s="1" t="s">
        <v>181</v>
      </c>
      <c r="F19" s="1" t="s">
        <v>201</v>
      </c>
      <c r="G19" s="13">
        <v>7705000</v>
      </c>
      <c r="H19" s="1">
        <v>1994</v>
      </c>
      <c r="K19" s="13">
        <v>950000</v>
      </c>
    </row>
    <row r="20" spans="1:11" x14ac:dyDescent="0.3">
      <c r="A20" s="1" t="s">
        <v>179</v>
      </c>
      <c r="B20" s="1" t="s">
        <v>180</v>
      </c>
      <c r="C20" s="1">
        <v>1995</v>
      </c>
      <c r="D20" s="1" t="s">
        <v>373</v>
      </c>
      <c r="E20" s="1" t="s">
        <v>181</v>
      </c>
      <c r="F20" s="1" t="s">
        <v>362</v>
      </c>
      <c r="G20" s="31">
        <v>764062.26</v>
      </c>
      <c r="H20" s="1">
        <v>1989</v>
      </c>
      <c r="K20" s="13">
        <v>598939.01</v>
      </c>
    </row>
    <row r="21" spans="1:11" x14ac:dyDescent="0.3">
      <c r="A21" s="1" t="s">
        <v>179</v>
      </c>
      <c r="B21" s="1" t="s">
        <v>180</v>
      </c>
      <c r="C21" s="1">
        <v>1995</v>
      </c>
      <c r="D21" s="1" t="s">
        <v>374</v>
      </c>
      <c r="E21" s="1" t="s">
        <v>181</v>
      </c>
      <c r="F21" s="1" t="s">
        <v>362</v>
      </c>
      <c r="G21" s="13">
        <v>452475</v>
      </c>
      <c r="H21" s="1">
        <v>1992</v>
      </c>
      <c r="I21" s="1">
        <v>2012</v>
      </c>
      <c r="J21" s="1" t="s">
        <v>456</v>
      </c>
      <c r="K21" s="13">
        <v>427858.08</v>
      </c>
    </row>
    <row r="22" spans="1:11" x14ac:dyDescent="0.3">
      <c r="A22" s="1" t="s">
        <v>179</v>
      </c>
      <c r="B22" s="1" t="s">
        <v>180</v>
      </c>
      <c r="C22" s="1">
        <v>1995</v>
      </c>
      <c r="D22" s="1" t="s">
        <v>375</v>
      </c>
      <c r="E22" s="1" t="s">
        <v>181</v>
      </c>
      <c r="F22" s="1" t="s">
        <v>362</v>
      </c>
      <c r="G22" s="13">
        <v>300000</v>
      </c>
      <c r="H22" s="1">
        <v>1994</v>
      </c>
      <c r="K22" s="1">
        <v>254457.18</v>
      </c>
    </row>
    <row r="23" spans="1:11" x14ac:dyDescent="0.3">
      <c r="A23" s="1" t="s">
        <v>179</v>
      </c>
      <c r="B23" s="1" t="s">
        <v>180</v>
      </c>
      <c r="C23" s="1">
        <v>1995</v>
      </c>
      <c r="D23" s="1" t="s">
        <v>376</v>
      </c>
      <c r="E23" s="1" t="s">
        <v>181</v>
      </c>
      <c r="F23" s="1" t="s">
        <v>362</v>
      </c>
      <c r="G23" s="1">
        <v>941350</v>
      </c>
      <c r="H23" s="1">
        <v>1995</v>
      </c>
      <c r="K23" s="13">
        <v>941350</v>
      </c>
    </row>
    <row r="24" spans="1:11" x14ac:dyDescent="0.3">
      <c r="A24" s="1" t="s">
        <v>179</v>
      </c>
      <c r="B24" s="1" t="s">
        <v>180</v>
      </c>
      <c r="C24" s="1">
        <v>1994</v>
      </c>
      <c r="D24" s="1" t="s">
        <v>373</v>
      </c>
      <c r="E24" s="1" t="s">
        <v>181</v>
      </c>
      <c r="F24" s="1" t="s">
        <v>362</v>
      </c>
      <c r="G24" s="13">
        <v>900000</v>
      </c>
      <c r="H24" s="1">
        <v>1989</v>
      </c>
      <c r="K24" s="13">
        <v>654438.81000000006</v>
      </c>
    </row>
    <row r="25" spans="1:11" x14ac:dyDescent="0.3">
      <c r="A25" s="1" t="s">
        <v>179</v>
      </c>
      <c r="B25" s="1" t="s">
        <v>180</v>
      </c>
      <c r="C25" s="1">
        <v>1994</v>
      </c>
      <c r="D25" s="1" t="s">
        <v>374</v>
      </c>
      <c r="E25" s="1" t="s">
        <v>181</v>
      </c>
      <c r="F25" s="1" t="s">
        <v>362</v>
      </c>
      <c r="G25" s="13">
        <v>452475</v>
      </c>
      <c r="H25" s="1">
        <v>1992</v>
      </c>
      <c r="K25" s="13">
        <v>402734.95</v>
      </c>
    </row>
    <row r="26" spans="1:11" x14ac:dyDescent="0.3">
      <c r="A26" s="1" t="s">
        <v>179</v>
      </c>
      <c r="B26" s="1" t="s">
        <v>180</v>
      </c>
      <c r="C26" s="1">
        <v>1994</v>
      </c>
      <c r="D26" s="1" t="s">
        <v>473</v>
      </c>
      <c r="E26" s="1" t="s">
        <v>181</v>
      </c>
      <c r="F26" s="1" t="s">
        <v>362</v>
      </c>
      <c r="G26" s="13">
        <v>3455000</v>
      </c>
      <c r="H26" s="1">
        <v>1992</v>
      </c>
      <c r="K26" s="13">
        <v>3425000</v>
      </c>
    </row>
    <row r="27" spans="1:11" x14ac:dyDescent="0.3">
      <c r="A27" s="1" t="s">
        <v>179</v>
      </c>
      <c r="B27" s="1" t="s">
        <v>180</v>
      </c>
      <c r="C27" s="1">
        <v>1994</v>
      </c>
      <c r="D27" s="1" t="s">
        <v>474</v>
      </c>
      <c r="E27" s="1" t="s">
        <v>181</v>
      </c>
      <c r="F27" s="1" t="s">
        <v>362</v>
      </c>
      <c r="G27" s="13">
        <v>2765000</v>
      </c>
      <c r="H27" s="1">
        <v>1987</v>
      </c>
      <c r="K27" s="13">
        <v>2715000</v>
      </c>
    </row>
    <row r="28" spans="1:11" x14ac:dyDescent="0.3">
      <c r="A28" s="1" t="s">
        <v>179</v>
      </c>
      <c r="B28" s="1" t="s">
        <v>180</v>
      </c>
      <c r="C28" s="1">
        <v>1992</v>
      </c>
      <c r="D28" s="1" t="s">
        <v>374</v>
      </c>
      <c r="E28" s="1" t="s">
        <v>181</v>
      </c>
      <c r="F28" s="1" t="s">
        <v>362</v>
      </c>
      <c r="G28" s="13">
        <v>453000</v>
      </c>
      <c r="H28" s="1">
        <v>1992</v>
      </c>
      <c r="J28" s="1" t="s">
        <v>456</v>
      </c>
      <c r="K28" s="13">
        <v>453000</v>
      </c>
    </row>
    <row r="29" spans="1:11" x14ac:dyDescent="0.3">
      <c r="A29" s="1" t="s">
        <v>179</v>
      </c>
      <c r="B29" s="1" t="s">
        <v>180</v>
      </c>
      <c r="C29" s="1">
        <v>1992</v>
      </c>
      <c r="D29" s="1" t="s">
        <v>373</v>
      </c>
      <c r="E29" s="1" t="s">
        <v>181</v>
      </c>
      <c r="F29" s="1" t="s">
        <v>362</v>
      </c>
      <c r="G29" s="13">
        <v>900000</v>
      </c>
      <c r="H29" s="1">
        <v>1989</v>
      </c>
      <c r="K29" s="13">
        <v>738092.73</v>
      </c>
    </row>
    <row r="30" spans="1:11" x14ac:dyDescent="0.3">
      <c r="A30" s="1" t="s">
        <v>179</v>
      </c>
      <c r="B30" s="1" t="s">
        <v>180</v>
      </c>
      <c r="C30" s="1">
        <v>1992</v>
      </c>
      <c r="D30" s="1" t="s">
        <v>474</v>
      </c>
      <c r="E30" s="1" t="s">
        <v>181</v>
      </c>
      <c r="F30" s="1" t="s">
        <v>201</v>
      </c>
      <c r="G30" s="13">
        <v>2765000</v>
      </c>
      <c r="H30" s="1">
        <v>1987</v>
      </c>
      <c r="K30" s="13">
        <v>2765000</v>
      </c>
    </row>
    <row r="31" spans="1:11" x14ac:dyDescent="0.3">
      <c r="G31" s="13"/>
      <c r="K31" s="13"/>
    </row>
    <row r="32" spans="1:11" x14ac:dyDescent="0.3">
      <c r="G32" s="13"/>
      <c r="K32" s="13"/>
    </row>
    <row r="33" spans="7:11" x14ac:dyDescent="0.3">
      <c r="G33" s="13"/>
      <c r="K33" s="13"/>
    </row>
    <row r="34" spans="7:11" x14ac:dyDescent="0.3">
      <c r="G34" s="13"/>
      <c r="K34" s="13"/>
    </row>
    <row r="35" spans="7:11" x14ac:dyDescent="0.3">
      <c r="G35" s="13"/>
      <c r="K35" s="31"/>
    </row>
    <row r="36" spans="7:11" x14ac:dyDescent="0.3">
      <c r="G36" s="13"/>
      <c r="K36" s="31"/>
    </row>
    <row r="37" spans="7:11" x14ac:dyDescent="0.3">
      <c r="G37" s="13"/>
      <c r="K37" s="31"/>
    </row>
    <row r="38" spans="7:11" x14ac:dyDescent="0.3">
      <c r="G38" s="13"/>
      <c r="K38" s="31"/>
    </row>
    <row r="39" spans="7:11" x14ac:dyDescent="0.3">
      <c r="G39" s="13"/>
      <c r="K39" s="31"/>
    </row>
    <row r="40" spans="7:11" x14ac:dyDescent="0.3">
      <c r="G40" s="13"/>
      <c r="K40" s="31"/>
    </row>
    <row r="41" spans="7:11" x14ac:dyDescent="0.3">
      <c r="G41" s="13"/>
      <c r="K41" s="31"/>
    </row>
    <row r="42" spans="7:11" x14ac:dyDescent="0.3">
      <c r="G42" s="13"/>
      <c r="K42" s="31"/>
    </row>
    <row r="43" spans="7:11" x14ac:dyDescent="0.3">
      <c r="G43" s="13"/>
      <c r="K43" s="31"/>
    </row>
    <row r="44" spans="7:11" x14ac:dyDescent="0.3">
      <c r="G44" s="13"/>
      <c r="K44" s="31"/>
    </row>
    <row r="45" spans="7:11" x14ac:dyDescent="0.3">
      <c r="G45" s="13"/>
      <c r="K45" s="31"/>
    </row>
    <row r="46" spans="7:11" x14ac:dyDescent="0.3">
      <c r="G46" s="13"/>
      <c r="K46" s="31"/>
    </row>
    <row r="47" spans="7:11" x14ac:dyDescent="0.3">
      <c r="G47" s="13"/>
      <c r="K47" s="31"/>
    </row>
    <row r="48" spans="7:11" x14ac:dyDescent="0.3">
      <c r="G48" s="13"/>
      <c r="K48" s="31"/>
    </row>
    <row r="49" spans="7:11" x14ac:dyDescent="0.3">
      <c r="G49" s="13"/>
      <c r="K49" s="31"/>
    </row>
    <row r="50" spans="7:11" x14ac:dyDescent="0.3">
      <c r="G50" s="13"/>
      <c r="K50" s="31"/>
    </row>
    <row r="51" spans="7:11" x14ac:dyDescent="0.3">
      <c r="G51" s="13"/>
      <c r="K51" s="31"/>
    </row>
    <row r="52" spans="7:11" x14ac:dyDescent="0.3">
      <c r="G52" s="13"/>
      <c r="K52" s="31"/>
    </row>
    <row r="53" spans="7:11" x14ac:dyDescent="0.3">
      <c r="G53" s="13"/>
      <c r="K53" s="31"/>
    </row>
    <row r="54" spans="7:11" x14ac:dyDescent="0.3">
      <c r="G54" s="13"/>
      <c r="K54" s="31"/>
    </row>
    <row r="55" spans="7:11" x14ac:dyDescent="0.3">
      <c r="G55" s="13"/>
      <c r="K55" s="31"/>
    </row>
    <row r="56" spans="7:11" x14ac:dyDescent="0.3">
      <c r="G56" s="13"/>
      <c r="K56" s="31"/>
    </row>
    <row r="57" spans="7:11" x14ac:dyDescent="0.3">
      <c r="G57" s="13"/>
      <c r="K57" s="31"/>
    </row>
    <row r="58" spans="7:11" x14ac:dyDescent="0.3">
      <c r="G58" s="13"/>
      <c r="K58" s="31"/>
    </row>
    <row r="59" spans="7:11" x14ac:dyDescent="0.3">
      <c r="G59" s="13"/>
      <c r="K59" s="31"/>
    </row>
    <row r="60" spans="7:11" x14ac:dyDescent="0.3">
      <c r="G60" s="13"/>
      <c r="K60" s="31"/>
    </row>
    <row r="61" spans="7:11" x14ac:dyDescent="0.3">
      <c r="G61" s="13"/>
      <c r="K61" s="31"/>
    </row>
    <row r="62" spans="7:11" x14ac:dyDescent="0.3">
      <c r="G62" s="13"/>
      <c r="K62" s="31"/>
    </row>
    <row r="63" spans="7:11" x14ac:dyDescent="0.3">
      <c r="G63" s="13"/>
      <c r="K63" s="31"/>
    </row>
    <row r="64" spans="7:11" x14ac:dyDescent="0.3">
      <c r="G64" s="13"/>
      <c r="K64" s="31"/>
    </row>
    <row r="65" spans="7:11" x14ac:dyDescent="0.3">
      <c r="G65" s="13"/>
      <c r="K65" s="31"/>
    </row>
    <row r="66" spans="7:11" x14ac:dyDescent="0.3">
      <c r="G66" s="13"/>
      <c r="K66" s="31"/>
    </row>
    <row r="67" spans="7:11" x14ac:dyDescent="0.3">
      <c r="G67" s="13"/>
      <c r="K67" s="31"/>
    </row>
    <row r="68" spans="7:11" x14ac:dyDescent="0.3">
      <c r="G68" s="13"/>
      <c r="K68" s="31"/>
    </row>
    <row r="69" spans="7:11" x14ac:dyDescent="0.3">
      <c r="G69" s="13"/>
      <c r="K69" s="31"/>
    </row>
    <row r="70" spans="7:11" x14ac:dyDescent="0.3">
      <c r="K70" s="31"/>
    </row>
    <row r="71" spans="7:11" x14ac:dyDescent="0.3">
      <c r="K71" s="31"/>
    </row>
    <row r="72" spans="7:11" x14ac:dyDescent="0.3">
      <c r="K72" s="31"/>
    </row>
    <row r="73" spans="7:11" x14ac:dyDescent="0.3">
      <c r="K73" s="31"/>
    </row>
    <row r="74" spans="7:11" x14ac:dyDescent="0.3">
      <c r="K74" s="31"/>
    </row>
    <row r="75" spans="7:11" x14ac:dyDescent="0.3">
      <c r="K75" s="3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20"/>
  <sheetViews>
    <sheetView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3" width="8.88671875" style="1"/>
    <col min="4" max="4" width="10" style="1" bestFit="1" customWidth="1"/>
    <col min="5" max="6" width="11.109375" style="13" bestFit="1" customWidth="1"/>
    <col min="7" max="7" width="12.5546875" style="13" bestFit="1" customWidth="1"/>
    <col min="8" max="8" width="8.88671875" style="1"/>
    <col min="9" max="9" width="15" style="1" bestFit="1" customWidth="1"/>
    <col min="10" max="16384" width="8.88671875" style="1"/>
  </cols>
  <sheetData>
    <row r="1" spans="1:10" x14ac:dyDescent="0.3">
      <c r="A1" s="18" t="s">
        <v>0</v>
      </c>
      <c r="B1" s="18" t="s">
        <v>27</v>
      </c>
      <c r="C1" s="18" t="s">
        <v>2</v>
      </c>
      <c r="D1" s="18" t="s">
        <v>110</v>
      </c>
      <c r="E1" s="18" t="s">
        <v>116</v>
      </c>
      <c r="F1" s="18" t="s">
        <v>104</v>
      </c>
      <c r="G1" s="18" t="s">
        <v>117</v>
      </c>
      <c r="H1" s="18" t="s">
        <v>118</v>
      </c>
      <c r="I1" s="18" t="s">
        <v>119</v>
      </c>
      <c r="J1" s="18" t="s">
        <v>96</v>
      </c>
    </row>
    <row r="2" spans="1:10" x14ac:dyDescent="0.3">
      <c r="A2" t="s">
        <v>179</v>
      </c>
      <c r="B2" s="1" t="s">
        <v>180</v>
      </c>
      <c r="C2" s="1">
        <v>2019</v>
      </c>
      <c r="D2" s="1">
        <v>2018</v>
      </c>
      <c r="E2" s="20">
        <v>185000</v>
      </c>
      <c r="F2" s="20">
        <v>163061</v>
      </c>
      <c r="G2" s="20">
        <v>348061</v>
      </c>
    </row>
    <row r="3" spans="1:10" x14ac:dyDescent="0.3">
      <c r="A3" t="s">
        <v>179</v>
      </c>
      <c r="B3" s="1" t="s">
        <v>180</v>
      </c>
      <c r="C3" s="1">
        <v>2019</v>
      </c>
      <c r="D3" s="1">
        <v>2019</v>
      </c>
      <c r="E3" s="20">
        <v>900000</v>
      </c>
      <c r="F3" s="20">
        <v>161063</v>
      </c>
      <c r="G3" s="20">
        <v>1061063</v>
      </c>
    </row>
    <row r="4" spans="1:10" x14ac:dyDescent="0.3">
      <c r="A4" t="s">
        <v>179</v>
      </c>
      <c r="B4" s="1" t="s">
        <v>180</v>
      </c>
      <c r="C4" s="1">
        <v>2019</v>
      </c>
      <c r="D4" s="1">
        <v>2020</v>
      </c>
      <c r="E4" s="20">
        <v>910000</v>
      </c>
      <c r="F4" s="20">
        <v>149812</v>
      </c>
      <c r="G4" s="20">
        <v>1059812</v>
      </c>
    </row>
    <row r="5" spans="1:10" x14ac:dyDescent="0.3">
      <c r="A5" t="s">
        <v>179</v>
      </c>
      <c r="B5" s="1" t="s">
        <v>180</v>
      </c>
      <c r="C5" s="1">
        <v>2019</v>
      </c>
      <c r="D5" s="1">
        <v>2021</v>
      </c>
      <c r="E5" s="20">
        <v>935000</v>
      </c>
      <c r="F5" s="20">
        <v>126242</v>
      </c>
      <c r="G5" s="20">
        <v>1061242</v>
      </c>
    </row>
    <row r="6" spans="1:10" x14ac:dyDescent="0.3">
      <c r="A6" t="s">
        <v>179</v>
      </c>
      <c r="B6" s="1" t="s">
        <v>180</v>
      </c>
      <c r="C6" s="1">
        <v>2019</v>
      </c>
      <c r="D6" s="1">
        <v>2022</v>
      </c>
      <c r="E6" s="20">
        <v>960000</v>
      </c>
      <c r="F6" s="20">
        <v>94263</v>
      </c>
      <c r="G6" s="20">
        <v>1054263</v>
      </c>
    </row>
    <row r="7" spans="1:10" x14ac:dyDescent="0.3">
      <c r="A7" t="s">
        <v>179</v>
      </c>
      <c r="B7" s="1" t="s">
        <v>180</v>
      </c>
      <c r="C7" s="1">
        <v>2019</v>
      </c>
      <c r="D7" s="1" t="s">
        <v>205</v>
      </c>
      <c r="E7" s="20">
        <v>3130000</v>
      </c>
      <c r="F7" s="20">
        <v>146670</v>
      </c>
      <c r="G7" s="20">
        <v>3276670</v>
      </c>
    </row>
    <row r="8" spans="1:10" x14ac:dyDescent="0.3">
      <c r="A8" t="s">
        <v>179</v>
      </c>
      <c r="B8" s="1" t="s">
        <v>180</v>
      </c>
      <c r="C8" s="1">
        <v>2017</v>
      </c>
      <c r="D8" s="1">
        <v>2017</v>
      </c>
      <c r="E8" s="13">
        <f>565000+210850</f>
        <v>775850</v>
      </c>
      <c r="F8" s="13">
        <v>292736</v>
      </c>
      <c r="G8" s="13">
        <f>SUM(E8:F8)</f>
        <v>1068586</v>
      </c>
      <c r="H8" s="1">
        <f>284302+21440</f>
        <v>305742</v>
      </c>
      <c r="I8" s="32">
        <f>SUM(G8:H8)</f>
        <v>1374328</v>
      </c>
      <c r="J8" s="1" t="s">
        <v>345</v>
      </c>
    </row>
    <row r="9" spans="1:10" x14ac:dyDescent="0.3">
      <c r="A9" t="s">
        <v>179</v>
      </c>
      <c r="B9" s="1" t="s">
        <v>180</v>
      </c>
      <c r="C9" s="1">
        <v>2017</v>
      </c>
      <c r="D9" s="1">
        <v>2018</v>
      </c>
      <c r="E9" s="13">
        <f>585000+231210</f>
        <v>816210</v>
      </c>
      <c r="F9" s="13">
        <v>262752</v>
      </c>
      <c r="G9" s="13">
        <f t="shared" ref="G9:G57" si="0">SUM(E9:F9)</f>
        <v>1078962</v>
      </c>
      <c r="H9" s="1">
        <f>284302+17641</f>
        <v>301943</v>
      </c>
      <c r="I9" s="32">
        <f>SUM(G9:H9)</f>
        <v>1380905</v>
      </c>
      <c r="J9" s="1" t="s">
        <v>345</v>
      </c>
    </row>
    <row r="10" spans="1:10" x14ac:dyDescent="0.3">
      <c r="A10" t="s">
        <v>179</v>
      </c>
      <c r="B10" s="1" t="s">
        <v>180</v>
      </c>
      <c r="C10" s="1">
        <v>2017</v>
      </c>
      <c r="D10" s="1">
        <v>2019</v>
      </c>
      <c r="E10" s="13">
        <f>615000+251730</f>
        <v>866730</v>
      </c>
      <c r="F10" s="13">
        <v>218403</v>
      </c>
      <c r="G10" s="13">
        <f t="shared" si="0"/>
        <v>1085133</v>
      </c>
      <c r="H10" s="1">
        <f>284302+10290</f>
        <v>294592</v>
      </c>
      <c r="I10" s="32">
        <f t="shared" ref="I10:I13" si="1">SUM(G10:H10)</f>
        <v>1379725</v>
      </c>
      <c r="J10" s="1" t="s">
        <v>345</v>
      </c>
    </row>
    <row r="11" spans="1:10" x14ac:dyDescent="0.3">
      <c r="A11" t="s">
        <v>179</v>
      </c>
      <c r="B11" s="1" t="s">
        <v>180</v>
      </c>
      <c r="C11" s="1">
        <v>2017</v>
      </c>
      <c r="D11" s="1">
        <v>2020</v>
      </c>
      <c r="E11" s="13">
        <f>620000+274630</f>
        <v>894630</v>
      </c>
      <c r="F11" s="13">
        <v>171402</v>
      </c>
      <c r="G11" s="13">
        <f t="shared" si="0"/>
        <v>1066032</v>
      </c>
      <c r="H11" s="1">
        <v>284203</v>
      </c>
      <c r="I11" s="32">
        <f t="shared" si="1"/>
        <v>1350235</v>
      </c>
      <c r="J11" s="1" t="s">
        <v>345</v>
      </c>
    </row>
    <row r="12" spans="1:10" x14ac:dyDescent="0.3">
      <c r="A12" t="s">
        <v>179</v>
      </c>
      <c r="B12" s="1" t="s">
        <v>180</v>
      </c>
      <c r="C12" s="1">
        <v>2017</v>
      </c>
      <c r="D12" s="1">
        <v>2021</v>
      </c>
      <c r="E12" s="13">
        <v>298950</v>
      </c>
      <c r="F12" s="13">
        <v>122960</v>
      </c>
      <c r="G12" s="13">
        <f t="shared" si="0"/>
        <v>421910</v>
      </c>
      <c r="H12" s="1">
        <v>284302</v>
      </c>
      <c r="I12" s="32">
        <f t="shared" si="1"/>
        <v>706212</v>
      </c>
      <c r="J12" s="1" t="s">
        <v>345</v>
      </c>
    </row>
    <row r="13" spans="1:10" x14ac:dyDescent="0.3">
      <c r="A13" t="s">
        <v>179</v>
      </c>
      <c r="B13" s="1" t="s">
        <v>180</v>
      </c>
      <c r="C13" s="1">
        <v>2017</v>
      </c>
      <c r="D13" s="1" t="s">
        <v>344</v>
      </c>
      <c r="E13" s="13">
        <v>2234060</v>
      </c>
      <c r="F13" s="13">
        <v>345171</v>
      </c>
      <c r="G13" s="13">
        <f t="shared" si="0"/>
        <v>2579231</v>
      </c>
      <c r="H13" s="1">
        <v>23691</v>
      </c>
      <c r="I13" s="32">
        <f t="shared" si="1"/>
        <v>2602922</v>
      </c>
      <c r="J13" s="1" t="s">
        <v>345</v>
      </c>
    </row>
    <row r="14" spans="1:10" x14ac:dyDescent="0.3">
      <c r="A14" t="s">
        <v>179</v>
      </c>
      <c r="B14" s="1" t="s">
        <v>180</v>
      </c>
      <c r="C14" s="1">
        <v>2003</v>
      </c>
      <c r="D14" s="1">
        <v>2003</v>
      </c>
      <c r="E14" s="34">
        <v>385000</v>
      </c>
      <c r="F14" s="38">
        <v>55224.38</v>
      </c>
      <c r="G14" s="13">
        <f t="shared" si="0"/>
        <v>440224.38</v>
      </c>
      <c r="I14" s="32"/>
      <c r="J14" s="1" t="s">
        <v>380</v>
      </c>
    </row>
    <row r="15" spans="1:10" x14ac:dyDescent="0.3">
      <c r="A15" t="s">
        <v>179</v>
      </c>
      <c r="B15" s="1" t="s">
        <v>180</v>
      </c>
      <c r="C15" s="1">
        <v>2003</v>
      </c>
      <c r="D15" s="1">
        <v>2004</v>
      </c>
      <c r="E15" s="21">
        <v>370000</v>
      </c>
      <c r="F15" s="21">
        <f>108331.25+107175</f>
        <v>215506.25</v>
      </c>
      <c r="G15" s="13">
        <f t="shared" si="0"/>
        <v>585506.25</v>
      </c>
      <c r="I15" s="32"/>
      <c r="J15" s="1" t="s">
        <v>380</v>
      </c>
    </row>
    <row r="16" spans="1:10" x14ac:dyDescent="0.3">
      <c r="A16" t="s">
        <v>179</v>
      </c>
      <c r="B16" s="1" t="s">
        <v>180</v>
      </c>
      <c r="C16" s="1">
        <v>2003</v>
      </c>
      <c r="D16" s="1">
        <v>2005</v>
      </c>
      <c r="E16" s="21">
        <v>380000</v>
      </c>
      <c r="F16" s="21">
        <f>106018.75+104546.25</f>
        <v>210565</v>
      </c>
      <c r="G16" s="13">
        <f t="shared" si="0"/>
        <v>590565</v>
      </c>
      <c r="I16" s="32"/>
      <c r="J16" s="1" t="s">
        <v>380</v>
      </c>
    </row>
    <row r="17" spans="1:10" x14ac:dyDescent="0.3">
      <c r="A17" t="s">
        <v>179</v>
      </c>
      <c r="B17" s="1" t="s">
        <v>180</v>
      </c>
      <c r="C17" s="1">
        <v>2003</v>
      </c>
      <c r="D17" s="1">
        <v>2006</v>
      </c>
      <c r="E17" s="21">
        <v>385000</v>
      </c>
      <c r="F17" s="21">
        <f>103073.75+101078.75</f>
        <v>204152.5</v>
      </c>
      <c r="G17" s="13">
        <f t="shared" si="0"/>
        <v>589152.5</v>
      </c>
      <c r="I17" s="32"/>
      <c r="J17" s="1" t="s">
        <v>380</v>
      </c>
    </row>
    <row r="18" spans="1:10" x14ac:dyDescent="0.3">
      <c r="A18" t="s">
        <v>179</v>
      </c>
      <c r="B18" s="1" t="s">
        <v>180</v>
      </c>
      <c r="C18" s="1">
        <v>2003</v>
      </c>
      <c r="D18" s="1">
        <v>2007</v>
      </c>
      <c r="E18" s="21">
        <v>390000</v>
      </c>
      <c r="F18" s="21">
        <f>99031.25+96593.75</f>
        <v>195625</v>
      </c>
      <c r="G18" s="13">
        <f t="shared" si="0"/>
        <v>585625</v>
      </c>
      <c r="J18" s="1" t="s">
        <v>380</v>
      </c>
    </row>
    <row r="19" spans="1:10" x14ac:dyDescent="0.3">
      <c r="A19" t="s">
        <v>179</v>
      </c>
      <c r="B19" s="1" t="s">
        <v>180</v>
      </c>
      <c r="C19" s="1">
        <v>2003</v>
      </c>
      <c r="D19" s="1">
        <v>2008</v>
      </c>
      <c r="E19" s="21">
        <v>400000</v>
      </c>
      <c r="F19" s="21">
        <f>94156.25+91356.25</f>
        <v>185512.5</v>
      </c>
      <c r="G19" s="13">
        <f t="shared" si="0"/>
        <v>585512.5</v>
      </c>
      <c r="J19" s="1" t="s">
        <v>380</v>
      </c>
    </row>
    <row r="20" spans="1:10" x14ac:dyDescent="0.3">
      <c r="A20" t="s">
        <v>179</v>
      </c>
      <c r="B20" s="1" t="s">
        <v>180</v>
      </c>
      <c r="C20" s="1">
        <v>2003</v>
      </c>
      <c r="D20" s="1">
        <v>2009</v>
      </c>
      <c r="E20" s="21">
        <v>415000</v>
      </c>
      <c r="F20" s="21">
        <f>88556.25+85378.75</f>
        <v>173935</v>
      </c>
      <c r="G20" s="13">
        <f t="shared" si="0"/>
        <v>588935</v>
      </c>
      <c r="J20" s="1" t="s">
        <v>380</v>
      </c>
    </row>
    <row r="21" spans="1:10" x14ac:dyDescent="0.3">
      <c r="A21" t="s">
        <v>179</v>
      </c>
      <c r="B21" s="1" t="s">
        <v>180</v>
      </c>
      <c r="C21" s="1">
        <v>2003</v>
      </c>
      <c r="D21" s="1">
        <v>2010</v>
      </c>
      <c r="E21" s="21">
        <v>425000</v>
      </c>
      <c r="F21" s="21">
        <f>82123.75+78448.75</f>
        <v>160572.5</v>
      </c>
      <c r="G21" s="13">
        <f t="shared" si="0"/>
        <v>585572.5</v>
      </c>
      <c r="J21" s="1" t="s">
        <v>380</v>
      </c>
    </row>
    <row r="22" spans="1:10" x14ac:dyDescent="0.3">
      <c r="A22" t="s">
        <v>179</v>
      </c>
      <c r="B22" s="1" t="s">
        <v>180</v>
      </c>
      <c r="C22" s="1">
        <v>2003</v>
      </c>
      <c r="D22" s="1">
        <v>2011</v>
      </c>
      <c r="E22" s="21">
        <v>445000</v>
      </c>
      <c r="F22" s="21">
        <f>74686.25+70616.25</f>
        <v>145302.5</v>
      </c>
      <c r="G22" s="13">
        <f t="shared" si="0"/>
        <v>590302.5</v>
      </c>
      <c r="J22" s="1" t="s">
        <v>380</v>
      </c>
    </row>
    <row r="23" spans="1:10" x14ac:dyDescent="0.3">
      <c r="A23" t="s">
        <v>179</v>
      </c>
      <c r="B23" s="1" t="s">
        <v>180</v>
      </c>
      <c r="C23" s="1">
        <v>2003</v>
      </c>
      <c r="D23" s="1">
        <v>2012</v>
      </c>
      <c r="E23" s="21">
        <v>455000</v>
      </c>
      <c r="F23" s="21">
        <f>66453.75+61953.75</f>
        <v>128407.5</v>
      </c>
      <c r="G23" s="13">
        <f t="shared" si="0"/>
        <v>583407.5</v>
      </c>
      <c r="J23" s="1" t="s">
        <v>380</v>
      </c>
    </row>
    <row r="24" spans="1:10" x14ac:dyDescent="0.3">
      <c r="A24" t="s">
        <v>179</v>
      </c>
      <c r="B24" s="1" t="s">
        <v>180</v>
      </c>
      <c r="C24" s="1">
        <v>2003</v>
      </c>
      <c r="D24" s="1">
        <v>2013</v>
      </c>
      <c r="E24" s="21">
        <v>475000</v>
      </c>
      <c r="F24" s="21">
        <f>57353.75+52536.25</f>
        <v>109890</v>
      </c>
      <c r="G24" s="13">
        <f t="shared" si="0"/>
        <v>584890</v>
      </c>
      <c r="J24" s="1" t="s">
        <v>380</v>
      </c>
    </row>
    <row r="25" spans="1:10" x14ac:dyDescent="0.3">
      <c r="A25" t="s">
        <v>179</v>
      </c>
      <c r="B25" s="1" t="s">
        <v>180</v>
      </c>
      <c r="C25" s="1">
        <v>2003</v>
      </c>
      <c r="D25" s="1">
        <v>2014</v>
      </c>
      <c r="E25" s="38">
        <v>495000</v>
      </c>
      <c r="F25" s="21">
        <f>47616.25+42287.5</f>
        <v>89903.75</v>
      </c>
      <c r="G25" s="13">
        <f t="shared" si="0"/>
        <v>584903.75</v>
      </c>
      <c r="J25" s="1" t="s">
        <v>380</v>
      </c>
    </row>
    <row r="26" spans="1:10" x14ac:dyDescent="0.3">
      <c r="A26" t="s">
        <v>179</v>
      </c>
      <c r="B26" s="1" t="s">
        <v>180</v>
      </c>
      <c r="C26" s="1">
        <v>2003</v>
      </c>
      <c r="D26" s="1">
        <v>2015</v>
      </c>
      <c r="E26" s="38">
        <v>520000</v>
      </c>
      <c r="F26" s="21">
        <f>36850+31176.25</f>
        <v>68026.25</v>
      </c>
      <c r="G26" s="13">
        <f t="shared" si="0"/>
        <v>588026.25</v>
      </c>
      <c r="J26" s="1" t="s">
        <v>380</v>
      </c>
    </row>
    <row r="27" spans="1:10" x14ac:dyDescent="0.3">
      <c r="A27" t="s">
        <v>179</v>
      </c>
      <c r="B27" s="1" t="s">
        <v>180</v>
      </c>
      <c r="C27" s="1">
        <v>2003</v>
      </c>
      <c r="D27" s="1">
        <v>2016</v>
      </c>
      <c r="E27" s="38">
        <v>540000</v>
      </c>
      <c r="F27" s="21">
        <f>25280+19251.25</f>
        <v>44531.25</v>
      </c>
      <c r="G27" s="13">
        <f t="shared" si="0"/>
        <v>584531.25</v>
      </c>
      <c r="J27" s="1" t="s">
        <v>380</v>
      </c>
    </row>
    <row r="28" spans="1:10" x14ac:dyDescent="0.3">
      <c r="A28" t="s">
        <v>179</v>
      </c>
      <c r="B28" s="1" t="s">
        <v>180</v>
      </c>
      <c r="C28" s="1">
        <v>2003</v>
      </c>
      <c r="D28" s="1">
        <v>2017</v>
      </c>
      <c r="E28" s="38">
        <v>565000</v>
      </c>
      <c r="F28" s="21">
        <f>12995+6555</f>
        <v>19550</v>
      </c>
      <c r="G28" s="13">
        <f t="shared" si="0"/>
        <v>584550</v>
      </c>
      <c r="J28" s="1" t="s">
        <v>380</v>
      </c>
    </row>
    <row r="29" spans="1:10" x14ac:dyDescent="0.3">
      <c r="A29" t="s">
        <v>179</v>
      </c>
      <c r="B29" s="1" t="s">
        <v>180</v>
      </c>
      <c r="C29" s="1">
        <v>1998</v>
      </c>
      <c r="D29" s="1">
        <v>1998</v>
      </c>
      <c r="E29" s="13">
        <v>46189</v>
      </c>
      <c r="F29" s="13">
        <v>52222</v>
      </c>
      <c r="G29" s="13">
        <f t="shared" si="0"/>
        <v>98411</v>
      </c>
      <c r="J29" s="1" t="s">
        <v>433</v>
      </c>
    </row>
    <row r="30" spans="1:10" x14ac:dyDescent="0.3">
      <c r="A30" t="s">
        <v>179</v>
      </c>
      <c r="B30" s="1" t="s">
        <v>180</v>
      </c>
      <c r="C30" s="1">
        <v>1998</v>
      </c>
      <c r="D30" s="1">
        <v>1999</v>
      </c>
      <c r="E30" s="13">
        <v>46715</v>
      </c>
      <c r="F30" s="13">
        <v>4696</v>
      </c>
      <c r="G30" s="13">
        <f t="shared" si="0"/>
        <v>51411</v>
      </c>
      <c r="J30" s="1" t="s">
        <v>433</v>
      </c>
    </row>
    <row r="31" spans="1:10" x14ac:dyDescent="0.3">
      <c r="A31" t="s">
        <v>179</v>
      </c>
      <c r="B31" s="1" t="s">
        <v>180</v>
      </c>
      <c r="C31" s="1">
        <v>1998</v>
      </c>
      <c r="D31" s="1">
        <v>2000</v>
      </c>
      <c r="E31" s="13">
        <v>47247</v>
      </c>
      <c r="F31" s="13">
        <v>4164</v>
      </c>
      <c r="G31" s="13">
        <f t="shared" si="0"/>
        <v>51411</v>
      </c>
      <c r="J31" s="1" t="s">
        <v>433</v>
      </c>
    </row>
    <row r="32" spans="1:10" x14ac:dyDescent="0.3">
      <c r="A32" t="s">
        <v>179</v>
      </c>
      <c r="B32" s="1" t="s">
        <v>180</v>
      </c>
      <c r="C32" s="1">
        <v>1998</v>
      </c>
      <c r="D32" s="1">
        <v>2001</v>
      </c>
      <c r="E32" s="13">
        <v>47785</v>
      </c>
      <c r="F32" s="13">
        <v>3626</v>
      </c>
      <c r="G32" s="13">
        <f t="shared" si="0"/>
        <v>51411</v>
      </c>
      <c r="J32" s="1" t="s">
        <v>433</v>
      </c>
    </row>
    <row r="33" spans="1:10" x14ac:dyDescent="0.3">
      <c r="A33" t="s">
        <v>179</v>
      </c>
      <c r="B33" s="1" t="s">
        <v>180</v>
      </c>
      <c r="C33" s="1">
        <v>1998</v>
      </c>
      <c r="D33" s="1">
        <v>2002</v>
      </c>
      <c r="E33" s="13">
        <v>48439</v>
      </c>
      <c r="F33" s="13">
        <v>2972</v>
      </c>
      <c r="G33" s="13">
        <f t="shared" si="0"/>
        <v>51411</v>
      </c>
      <c r="J33" s="1" t="s">
        <v>433</v>
      </c>
    </row>
    <row r="34" spans="1:10" x14ac:dyDescent="0.3">
      <c r="A34" t="s">
        <v>179</v>
      </c>
      <c r="B34" s="1" t="s">
        <v>180</v>
      </c>
      <c r="C34" s="1">
        <v>1998</v>
      </c>
      <c r="D34" s="1" t="s">
        <v>431</v>
      </c>
      <c r="E34" s="13">
        <v>245578</v>
      </c>
      <c r="F34" s="13">
        <v>7118</v>
      </c>
      <c r="G34" s="13">
        <f t="shared" si="0"/>
        <v>252696</v>
      </c>
      <c r="J34" s="1" t="s">
        <v>433</v>
      </c>
    </row>
    <row r="35" spans="1:10" x14ac:dyDescent="0.3">
      <c r="A35" t="s">
        <v>179</v>
      </c>
      <c r="B35" s="1" t="s">
        <v>180</v>
      </c>
      <c r="C35" s="1">
        <v>1998</v>
      </c>
      <c r="D35" s="1">
        <v>1998</v>
      </c>
      <c r="E35" s="13">
        <v>22575</v>
      </c>
      <c r="F35" s="13">
        <v>5838</v>
      </c>
      <c r="G35" s="13">
        <f t="shared" si="0"/>
        <v>28413</v>
      </c>
      <c r="J35" s="1" t="s">
        <v>434</v>
      </c>
    </row>
    <row r="36" spans="1:10" x14ac:dyDescent="0.3">
      <c r="A36" t="s">
        <v>179</v>
      </c>
      <c r="B36" s="1" t="s">
        <v>180</v>
      </c>
      <c r="C36" s="1">
        <v>1998</v>
      </c>
      <c r="D36" s="1">
        <v>1999</v>
      </c>
      <c r="E36" s="13">
        <v>22946</v>
      </c>
      <c r="F36" s="13">
        <v>5467</v>
      </c>
      <c r="G36" s="13">
        <f t="shared" si="0"/>
        <v>28413</v>
      </c>
      <c r="J36" s="1" t="s">
        <v>434</v>
      </c>
    </row>
    <row r="37" spans="1:10" x14ac:dyDescent="0.3">
      <c r="A37" t="s">
        <v>179</v>
      </c>
      <c r="B37" s="1" t="s">
        <v>180</v>
      </c>
      <c r="C37" s="1">
        <v>1998</v>
      </c>
      <c r="D37" s="1">
        <v>2000</v>
      </c>
      <c r="E37" s="13">
        <v>23323</v>
      </c>
      <c r="F37" s="13">
        <v>5090</v>
      </c>
      <c r="G37" s="13">
        <f t="shared" si="0"/>
        <v>28413</v>
      </c>
      <c r="J37" s="1" t="s">
        <v>434</v>
      </c>
    </row>
    <row r="38" spans="1:10" x14ac:dyDescent="0.3">
      <c r="A38" t="s">
        <v>179</v>
      </c>
      <c r="B38" s="1" t="s">
        <v>180</v>
      </c>
      <c r="C38" s="1">
        <v>1998</v>
      </c>
      <c r="D38" s="1">
        <v>2001</v>
      </c>
      <c r="E38" s="13">
        <v>23707</v>
      </c>
      <c r="F38" s="13">
        <v>4706</v>
      </c>
      <c r="G38" s="13">
        <f t="shared" si="0"/>
        <v>28413</v>
      </c>
      <c r="J38" s="1" t="s">
        <v>434</v>
      </c>
    </row>
    <row r="39" spans="1:10" x14ac:dyDescent="0.3">
      <c r="A39" t="s">
        <v>179</v>
      </c>
      <c r="B39" s="1" t="s">
        <v>180</v>
      </c>
      <c r="C39" s="1">
        <v>1998</v>
      </c>
      <c r="D39" s="1">
        <v>2002</v>
      </c>
      <c r="E39" s="13">
        <v>24097</v>
      </c>
      <c r="F39" s="13">
        <v>4316</v>
      </c>
      <c r="G39" s="13">
        <f t="shared" si="0"/>
        <v>28413</v>
      </c>
      <c r="J39" s="1" t="s">
        <v>434</v>
      </c>
    </row>
    <row r="40" spans="1:10" x14ac:dyDescent="0.3">
      <c r="A40" t="s">
        <v>179</v>
      </c>
      <c r="B40" s="1" t="s">
        <v>180</v>
      </c>
      <c r="C40" s="1">
        <v>1998</v>
      </c>
      <c r="D40" s="1" t="s">
        <v>432</v>
      </c>
      <c r="E40" s="13">
        <v>251420</v>
      </c>
      <c r="F40" s="13">
        <v>20302</v>
      </c>
      <c r="G40" s="13">
        <f t="shared" si="0"/>
        <v>271722</v>
      </c>
      <c r="J40" s="1" t="s">
        <v>434</v>
      </c>
    </row>
    <row r="41" spans="1:10" x14ac:dyDescent="0.3">
      <c r="A41" t="s">
        <v>179</v>
      </c>
      <c r="B41" s="1" t="s">
        <v>180</v>
      </c>
      <c r="C41" s="1">
        <v>1998</v>
      </c>
      <c r="D41" s="1">
        <v>1998</v>
      </c>
      <c r="E41" s="13">
        <v>14657</v>
      </c>
      <c r="F41" s="13">
        <v>2415</v>
      </c>
      <c r="G41" s="13">
        <f t="shared" si="0"/>
        <v>17072</v>
      </c>
      <c r="J41" s="1" t="s">
        <v>435</v>
      </c>
    </row>
    <row r="42" spans="1:10" x14ac:dyDescent="0.3">
      <c r="A42" t="s">
        <v>179</v>
      </c>
      <c r="B42" s="1" t="s">
        <v>180</v>
      </c>
      <c r="C42" s="1">
        <v>1998</v>
      </c>
      <c r="D42" s="1">
        <v>1999</v>
      </c>
      <c r="E42" s="13">
        <v>14742</v>
      </c>
      <c r="F42" s="13">
        <v>2412</v>
      </c>
      <c r="G42" s="13">
        <f t="shared" si="0"/>
        <v>17154</v>
      </c>
      <c r="J42" s="1" t="s">
        <v>435</v>
      </c>
    </row>
    <row r="43" spans="1:10" x14ac:dyDescent="0.3">
      <c r="A43" t="s">
        <v>179</v>
      </c>
      <c r="B43" s="1" t="s">
        <v>180</v>
      </c>
      <c r="C43" s="1">
        <v>1998</v>
      </c>
      <c r="D43" s="1">
        <v>2000</v>
      </c>
      <c r="E43" s="13">
        <v>14728</v>
      </c>
      <c r="F43" s="13">
        <v>2672</v>
      </c>
      <c r="G43" s="13">
        <f t="shared" si="0"/>
        <v>17400</v>
      </c>
      <c r="J43" s="1" t="s">
        <v>435</v>
      </c>
    </row>
    <row r="44" spans="1:10" x14ac:dyDescent="0.3">
      <c r="A44" t="s">
        <v>179</v>
      </c>
      <c r="B44" s="1" t="s">
        <v>180</v>
      </c>
      <c r="C44" s="1">
        <v>1998</v>
      </c>
      <c r="D44" s="1">
        <v>2001</v>
      </c>
      <c r="E44" s="13">
        <v>14914</v>
      </c>
      <c r="F44" s="13">
        <v>2486</v>
      </c>
      <c r="G44" s="13">
        <f t="shared" si="0"/>
        <v>17400</v>
      </c>
      <c r="J44" s="1" t="s">
        <v>435</v>
      </c>
    </row>
    <row r="45" spans="1:10" x14ac:dyDescent="0.3">
      <c r="A45" t="s">
        <v>179</v>
      </c>
      <c r="B45" s="1" t="s">
        <v>180</v>
      </c>
      <c r="C45" s="1">
        <v>1998</v>
      </c>
      <c r="D45" s="1">
        <v>2002</v>
      </c>
      <c r="E45" s="13">
        <v>15103</v>
      </c>
      <c r="F45" s="13">
        <v>2297</v>
      </c>
      <c r="G45" s="13">
        <f t="shared" si="0"/>
        <v>17400</v>
      </c>
      <c r="J45" s="1" t="s">
        <v>435</v>
      </c>
    </row>
    <row r="46" spans="1:10" x14ac:dyDescent="0.3">
      <c r="A46" t="s">
        <v>179</v>
      </c>
      <c r="B46" s="1" t="s">
        <v>180</v>
      </c>
      <c r="C46" s="1">
        <v>1998</v>
      </c>
      <c r="D46" s="1" t="s">
        <v>436</v>
      </c>
      <c r="E46" s="13">
        <v>174102</v>
      </c>
      <c r="F46" s="13">
        <v>12093</v>
      </c>
      <c r="G46" s="13">
        <f t="shared" si="0"/>
        <v>186195</v>
      </c>
      <c r="J46" s="1" t="s">
        <v>435</v>
      </c>
    </row>
    <row r="47" spans="1:10" x14ac:dyDescent="0.3">
      <c r="A47" t="s">
        <v>179</v>
      </c>
      <c r="B47" s="1" t="s">
        <v>180</v>
      </c>
      <c r="C47" s="1">
        <v>1998</v>
      </c>
      <c r="D47" s="1">
        <v>1998</v>
      </c>
      <c r="E47" s="13">
        <v>43360</v>
      </c>
      <c r="F47" s="13">
        <v>9084</v>
      </c>
      <c r="G47" s="13">
        <f t="shared" si="0"/>
        <v>52444</v>
      </c>
      <c r="J47" s="1" t="s">
        <v>437</v>
      </c>
    </row>
    <row r="48" spans="1:10" x14ac:dyDescent="0.3">
      <c r="A48" t="s">
        <v>179</v>
      </c>
      <c r="B48" s="1" t="s">
        <v>180</v>
      </c>
      <c r="C48" s="1">
        <v>1998</v>
      </c>
      <c r="D48" s="1">
        <v>1999</v>
      </c>
      <c r="E48" s="13">
        <v>48075</v>
      </c>
      <c r="F48" s="13">
        <v>9137</v>
      </c>
      <c r="G48" s="13">
        <f t="shared" si="0"/>
        <v>57212</v>
      </c>
      <c r="J48" s="1" t="s">
        <v>437</v>
      </c>
    </row>
    <row r="49" spans="1:10" x14ac:dyDescent="0.3">
      <c r="A49" t="s">
        <v>179</v>
      </c>
      <c r="B49" s="1" t="s">
        <v>180</v>
      </c>
      <c r="C49" s="1">
        <v>1998</v>
      </c>
      <c r="D49" s="1">
        <v>2000</v>
      </c>
      <c r="E49" s="13">
        <v>47077</v>
      </c>
      <c r="F49" s="13">
        <v>12386</v>
      </c>
      <c r="G49" s="13">
        <f t="shared" si="0"/>
        <v>59463</v>
      </c>
      <c r="J49" s="1" t="s">
        <v>437</v>
      </c>
    </row>
    <row r="50" spans="1:10" x14ac:dyDescent="0.3">
      <c r="A50" t="s">
        <v>179</v>
      </c>
      <c r="B50" s="1" t="s">
        <v>180</v>
      </c>
      <c r="C50" s="1">
        <v>1998</v>
      </c>
      <c r="D50" s="1">
        <v>2001</v>
      </c>
      <c r="E50" s="13">
        <v>46635</v>
      </c>
      <c r="F50" s="13">
        <v>15078</v>
      </c>
      <c r="G50" s="13">
        <f t="shared" si="0"/>
        <v>61713</v>
      </c>
      <c r="J50" s="1" t="s">
        <v>437</v>
      </c>
    </row>
    <row r="51" spans="1:10" x14ac:dyDescent="0.3">
      <c r="A51" t="s">
        <v>179</v>
      </c>
      <c r="B51" s="1" t="s">
        <v>180</v>
      </c>
      <c r="C51" s="1">
        <v>1998</v>
      </c>
      <c r="D51" s="1">
        <v>2002</v>
      </c>
      <c r="E51" s="13">
        <v>48238</v>
      </c>
      <c r="F51" s="13">
        <v>14475</v>
      </c>
      <c r="G51" s="13">
        <f t="shared" si="0"/>
        <v>62713</v>
      </c>
      <c r="J51" s="1" t="s">
        <v>437</v>
      </c>
    </row>
    <row r="52" spans="1:10" x14ac:dyDescent="0.3">
      <c r="A52" t="s">
        <v>179</v>
      </c>
      <c r="B52" s="1" t="s">
        <v>180</v>
      </c>
      <c r="C52" s="1">
        <v>1998</v>
      </c>
      <c r="D52" s="1" t="s">
        <v>436</v>
      </c>
      <c r="E52" s="13">
        <v>371948</v>
      </c>
      <c r="F52" s="13">
        <v>44618</v>
      </c>
      <c r="G52" s="13">
        <f t="shared" si="0"/>
        <v>416566</v>
      </c>
      <c r="J52" s="1" t="s">
        <v>437</v>
      </c>
    </row>
    <row r="53" spans="1:10" x14ac:dyDescent="0.3">
      <c r="A53" t="s">
        <v>179</v>
      </c>
      <c r="B53" s="1" t="s">
        <v>180</v>
      </c>
      <c r="C53" s="1">
        <v>1995</v>
      </c>
      <c r="D53" s="1">
        <v>1994</v>
      </c>
      <c r="E53" s="13">
        <f>60000+25000</f>
        <v>85000</v>
      </c>
      <c r="F53" s="13">
        <v>506348</v>
      </c>
      <c r="G53" s="13">
        <f t="shared" si="0"/>
        <v>591348</v>
      </c>
      <c r="J53" s="1" t="s">
        <v>453</v>
      </c>
    </row>
    <row r="54" spans="1:10" x14ac:dyDescent="0.3">
      <c r="A54" t="s">
        <v>179</v>
      </c>
      <c r="B54" s="1" t="s">
        <v>180</v>
      </c>
      <c r="C54" s="1">
        <v>1995</v>
      </c>
      <c r="D54" s="1">
        <v>1995</v>
      </c>
      <c r="E54" s="13">
        <f>60000+25000</f>
        <v>85000</v>
      </c>
      <c r="F54" s="13">
        <v>499774</v>
      </c>
      <c r="G54" s="13">
        <f t="shared" si="0"/>
        <v>584774</v>
      </c>
      <c r="J54" s="1" t="s">
        <v>453</v>
      </c>
    </row>
    <row r="55" spans="1:10" x14ac:dyDescent="0.3">
      <c r="A55" t="s">
        <v>179</v>
      </c>
      <c r="B55" s="1" t="s">
        <v>180</v>
      </c>
      <c r="C55" s="1">
        <v>1995</v>
      </c>
      <c r="D55" s="1">
        <v>1996</v>
      </c>
      <c r="E55" s="13">
        <f>65000+25000</f>
        <v>90000</v>
      </c>
      <c r="F55" s="13">
        <v>493048</v>
      </c>
      <c r="G55" s="13">
        <f t="shared" si="0"/>
        <v>583048</v>
      </c>
      <c r="J55" s="1" t="s">
        <v>453</v>
      </c>
    </row>
    <row r="56" spans="1:10" x14ac:dyDescent="0.3">
      <c r="A56" t="s">
        <v>179</v>
      </c>
      <c r="B56" s="1" t="s">
        <v>180</v>
      </c>
      <c r="C56" s="1">
        <v>1995</v>
      </c>
      <c r="D56" s="1">
        <v>1997</v>
      </c>
      <c r="E56" s="13">
        <f>75000+30000</f>
        <v>105000</v>
      </c>
      <c r="F56" s="13">
        <v>485736</v>
      </c>
      <c r="G56" s="13">
        <f t="shared" si="0"/>
        <v>590736</v>
      </c>
      <c r="J56" s="1" t="s">
        <v>453</v>
      </c>
    </row>
    <row r="57" spans="1:10" x14ac:dyDescent="0.3">
      <c r="A57" t="s">
        <v>179</v>
      </c>
      <c r="B57" s="1" t="s">
        <v>180</v>
      </c>
      <c r="C57" s="1">
        <v>1995</v>
      </c>
      <c r="D57" s="1">
        <v>1998</v>
      </c>
      <c r="E57" s="13">
        <f>80000+35000</f>
        <v>115000</v>
      </c>
      <c r="F57" s="13">
        <v>467696</v>
      </c>
      <c r="G57" s="13">
        <f t="shared" si="0"/>
        <v>582696</v>
      </c>
      <c r="J57" s="1" t="s">
        <v>453</v>
      </c>
    </row>
    <row r="58" spans="1:10" x14ac:dyDescent="0.3">
      <c r="A58" t="s">
        <v>179</v>
      </c>
      <c r="B58" s="1" t="s">
        <v>180</v>
      </c>
      <c r="C58" s="1">
        <v>1995</v>
      </c>
      <c r="D58" s="1" t="s">
        <v>452</v>
      </c>
      <c r="E58" s="13">
        <f>2320000+3265000</f>
        <v>5585000</v>
      </c>
      <c r="F58" s="13">
        <v>5691068</v>
      </c>
      <c r="G58" s="13">
        <f t="shared" ref="G58" si="2">SUM(E58:F58)</f>
        <v>11276068</v>
      </c>
      <c r="J58" s="1" t="s">
        <v>453</v>
      </c>
    </row>
    <row r="59" spans="1:10" x14ac:dyDescent="0.3">
      <c r="A59" t="s">
        <v>179</v>
      </c>
      <c r="B59" s="1" t="s">
        <v>180</v>
      </c>
      <c r="C59" s="1">
        <v>1995</v>
      </c>
      <c r="D59" s="1">
        <v>1994</v>
      </c>
      <c r="E59" s="13">
        <v>44065</v>
      </c>
      <c r="F59" s="13">
        <v>7456</v>
      </c>
      <c r="G59" s="13">
        <f t="shared" ref="G59:G120" si="3">SUM(E59:F59)</f>
        <v>51521</v>
      </c>
      <c r="J59" s="1" t="s">
        <v>455</v>
      </c>
    </row>
    <row r="60" spans="1:10" x14ac:dyDescent="0.3">
      <c r="A60" t="s">
        <v>179</v>
      </c>
      <c r="B60" s="1" t="s">
        <v>180</v>
      </c>
      <c r="C60" s="1">
        <v>1995</v>
      </c>
      <c r="D60" s="1">
        <v>1995</v>
      </c>
      <c r="E60" s="13">
        <v>44132</v>
      </c>
      <c r="F60" s="13">
        <v>7947</v>
      </c>
      <c r="G60" s="13">
        <f t="shared" si="3"/>
        <v>52079</v>
      </c>
      <c r="J60" s="1" t="s">
        <v>455</v>
      </c>
    </row>
    <row r="61" spans="1:10" x14ac:dyDescent="0.3">
      <c r="A61" t="s">
        <v>179</v>
      </c>
      <c r="B61" s="1" t="s">
        <v>180</v>
      </c>
      <c r="C61" s="1">
        <v>1995</v>
      </c>
      <c r="D61" s="1">
        <v>1996</v>
      </c>
      <c r="E61" s="13">
        <v>44125</v>
      </c>
      <c r="F61" s="13">
        <v>7954</v>
      </c>
      <c r="G61" s="13">
        <f t="shared" si="3"/>
        <v>52079</v>
      </c>
      <c r="J61" s="1" t="s">
        <v>455</v>
      </c>
    </row>
    <row r="62" spans="1:10" x14ac:dyDescent="0.3">
      <c r="A62" t="s">
        <v>179</v>
      </c>
      <c r="B62" s="1" t="s">
        <v>180</v>
      </c>
      <c r="C62" s="1">
        <v>1995</v>
      </c>
      <c r="D62" s="1">
        <v>1997</v>
      </c>
      <c r="E62" s="13">
        <v>44142</v>
      </c>
      <c r="F62" s="13">
        <v>7937</v>
      </c>
      <c r="G62" s="13">
        <f t="shared" si="3"/>
        <v>52079</v>
      </c>
      <c r="J62" s="1" t="s">
        <v>455</v>
      </c>
    </row>
    <row r="63" spans="1:10" x14ac:dyDescent="0.3">
      <c r="A63" t="s">
        <v>179</v>
      </c>
      <c r="B63" s="1" t="s">
        <v>180</v>
      </c>
      <c r="C63" s="1">
        <v>1995</v>
      </c>
      <c r="D63" s="1">
        <v>1998</v>
      </c>
      <c r="E63" s="13">
        <v>44162</v>
      </c>
      <c r="F63" s="13">
        <v>7917</v>
      </c>
      <c r="G63" s="13">
        <f t="shared" si="3"/>
        <v>52079</v>
      </c>
      <c r="J63" s="1" t="s">
        <v>455</v>
      </c>
    </row>
    <row r="64" spans="1:10" x14ac:dyDescent="0.3">
      <c r="A64" t="s">
        <v>179</v>
      </c>
      <c r="B64" s="1" t="s">
        <v>180</v>
      </c>
      <c r="C64" s="1">
        <v>1995</v>
      </c>
      <c r="D64" s="1" t="s">
        <v>454</v>
      </c>
      <c r="E64" s="13">
        <v>441207</v>
      </c>
      <c r="F64" s="13">
        <v>23167</v>
      </c>
      <c r="G64" s="13">
        <f t="shared" si="3"/>
        <v>464374</v>
      </c>
      <c r="J64" s="1" t="s">
        <v>455</v>
      </c>
    </row>
    <row r="65" spans="1:8" x14ac:dyDescent="0.3">
      <c r="A65" t="s">
        <v>179</v>
      </c>
      <c r="B65" s="1" t="s">
        <v>180</v>
      </c>
      <c r="C65" s="1">
        <v>1992</v>
      </c>
      <c r="D65" s="21">
        <v>1992</v>
      </c>
      <c r="E65" s="21">
        <v>30000</v>
      </c>
      <c r="F65" s="21">
        <v>164779.9</v>
      </c>
      <c r="G65" s="13">
        <f t="shared" si="3"/>
        <v>194779.9</v>
      </c>
    </row>
    <row r="66" spans="1:8" x14ac:dyDescent="0.3">
      <c r="A66" t="s">
        <v>179</v>
      </c>
      <c r="B66" s="1" t="s">
        <v>180</v>
      </c>
      <c r="C66" s="1">
        <v>1992</v>
      </c>
      <c r="D66" s="21">
        <v>1993</v>
      </c>
      <c r="E66" s="21">
        <v>20000</v>
      </c>
      <c r="F66" s="21">
        <v>260531.25</v>
      </c>
      <c r="G66" s="13">
        <f t="shared" si="3"/>
        <v>280531.25</v>
      </c>
    </row>
    <row r="67" spans="1:8" x14ac:dyDescent="0.3">
      <c r="A67" t="s">
        <v>179</v>
      </c>
      <c r="B67" s="1" t="s">
        <v>180</v>
      </c>
      <c r="C67" s="1">
        <v>1992</v>
      </c>
      <c r="D67" s="21">
        <v>1994</v>
      </c>
      <c r="E67" s="21">
        <v>25000</v>
      </c>
      <c r="F67" s="21">
        <v>259231.25</v>
      </c>
      <c r="G67" s="13">
        <f t="shared" si="3"/>
        <v>284231.25</v>
      </c>
    </row>
    <row r="68" spans="1:8" x14ac:dyDescent="0.3">
      <c r="A68" t="s">
        <v>179</v>
      </c>
      <c r="B68" s="1" t="s">
        <v>180</v>
      </c>
      <c r="C68" s="1">
        <v>1992</v>
      </c>
      <c r="D68" s="21">
        <v>1995</v>
      </c>
      <c r="E68" s="21">
        <v>25000</v>
      </c>
      <c r="F68" s="21">
        <v>257606.25</v>
      </c>
      <c r="G68" s="13">
        <f t="shared" si="3"/>
        <v>282606.25</v>
      </c>
    </row>
    <row r="69" spans="1:8" x14ac:dyDescent="0.3">
      <c r="A69" t="s">
        <v>179</v>
      </c>
      <c r="B69" s="1" t="s">
        <v>180</v>
      </c>
      <c r="C69" s="1">
        <v>1992</v>
      </c>
      <c r="D69" s="21">
        <v>1996</v>
      </c>
      <c r="E69" s="21">
        <v>25000</v>
      </c>
      <c r="F69" s="52">
        <v>255981.25</v>
      </c>
      <c r="G69" s="13">
        <f t="shared" si="3"/>
        <v>280981.25</v>
      </c>
    </row>
    <row r="70" spans="1:8" x14ac:dyDescent="0.3">
      <c r="A70" t="s">
        <v>179</v>
      </c>
      <c r="B70" s="1" t="s">
        <v>180</v>
      </c>
      <c r="C70" s="1">
        <v>1992</v>
      </c>
      <c r="D70" s="21">
        <v>1997</v>
      </c>
      <c r="E70" s="21">
        <v>30000</v>
      </c>
      <c r="F70" s="52">
        <v>254356.25</v>
      </c>
      <c r="G70" s="13">
        <f t="shared" si="3"/>
        <v>284356.25</v>
      </c>
    </row>
    <row r="71" spans="1:8" x14ac:dyDescent="0.3">
      <c r="A71" t="s">
        <v>179</v>
      </c>
      <c r="B71" s="1" t="s">
        <v>180</v>
      </c>
      <c r="C71" s="1">
        <v>1992</v>
      </c>
      <c r="D71" s="21">
        <v>1998</v>
      </c>
      <c r="E71" s="21">
        <v>30000</v>
      </c>
      <c r="F71" s="52">
        <v>252406.25</v>
      </c>
      <c r="G71" s="13">
        <f t="shared" si="3"/>
        <v>282406.25</v>
      </c>
      <c r="H71" s="21"/>
    </row>
    <row r="72" spans="1:8" x14ac:dyDescent="0.3">
      <c r="A72" t="s">
        <v>179</v>
      </c>
      <c r="B72" s="1" t="s">
        <v>180</v>
      </c>
      <c r="C72" s="1">
        <v>1992</v>
      </c>
      <c r="D72" s="21">
        <v>1999</v>
      </c>
      <c r="E72" s="21">
        <v>35000</v>
      </c>
      <c r="F72" s="52">
        <v>250306.25</v>
      </c>
      <c r="G72" s="13">
        <f t="shared" si="3"/>
        <v>285306.25</v>
      </c>
      <c r="H72" s="21"/>
    </row>
    <row r="73" spans="1:8" x14ac:dyDescent="0.3">
      <c r="A73" t="s">
        <v>179</v>
      </c>
      <c r="B73" s="1" t="s">
        <v>180</v>
      </c>
      <c r="C73" s="1">
        <v>1992</v>
      </c>
      <c r="D73" s="21">
        <v>2000</v>
      </c>
      <c r="E73" s="21">
        <v>35000</v>
      </c>
      <c r="F73" s="52">
        <v>247856.25</v>
      </c>
      <c r="G73" s="13">
        <f t="shared" si="3"/>
        <v>282856.25</v>
      </c>
      <c r="H73" s="21"/>
    </row>
    <row r="74" spans="1:8" x14ac:dyDescent="0.3">
      <c r="A74" t="s">
        <v>179</v>
      </c>
      <c r="B74" s="1" t="s">
        <v>180</v>
      </c>
      <c r="C74" s="1">
        <v>1992</v>
      </c>
      <c r="D74" s="21">
        <v>2001</v>
      </c>
      <c r="E74" s="21">
        <v>35000</v>
      </c>
      <c r="F74" s="52">
        <v>245406.25</v>
      </c>
      <c r="G74" s="13">
        <f t="shared" si="3"/>
        <v>280406.25</v>
      </c>
      <c r="H74" s="21"/>
    </row>
    <row r="75" spans="1:8" x14ac:dyDescent="0.3">
      <c r="A75" t="s">
        <v>179</v>
      </c>
      <c r="B75" s="1" t="s">
        <v>180</v>
      </c>
      <c r="C75" s="1">
        <v>1992</v>
      </c>
      <c r="D75" s="21">
        <v>2002</v>
      </c>
      <c r="E75" s="21">
        <v>40000</v>
      </c>
      <c r="F75" s="52">
        <v>242956.25</v>
      </c>
      <c r="G75" s="13">
        <f t="shared" si="3"/>
        <v>282956.25</v>
      </c>
      <c r="H75" s="52"/>
    </row>
    <row r="76" spans="1:8" x14ac:dyDescent="0.3">
      <c r="A76" t="s">
        <v>179</v>
      </c>
      <c r="B76" s="1" t="s">
        <v>180</v>
      </c>
      <c r="C76" s="1">
        <v>1992</v>
      </c>
      <c r="D76" s="21">
        <v>2003</v>
      </c>
      <c r="E76" s="21">
        <v>40000</v>
      </c>
      <c r="F76" s="52">
        <v>240156.25</v>
      </c>
      <c r="G76" s="13">
        <f t="shared" si="3"/>
        <v>280156.25</v>
      </c>
      <c r="H76" s="52"/>
    </row>
    <row r="77" spans="1:8" x14ac:dyDescent="0.3">
      <c r="A77" t="s">
        <v>179</v>
      </c>
      <c r="B77" s="1" t="s">
        <v>180</v>
      </c>
      <c r="C77" s="1">
        <v>1992</v>
      </c>
      <c r="D77" s="21">
        <v>2004</v>
      </c>
      <c r="E77" s="21">
        <v>45000</v>
      </c>
      <c r="F77" s="52">
        <v>237206.25</v>
      </c>
      <c r="G77" s="13">
        <f t="shared" si="3"/>
        <v>282206.25</v>
      </c>
      <c r="H77" s="52"/>
    </row>
    <row r="78" spans="1:8" x14ac:dyDescent="0.3">
      <c r="A78" t="s">
        <v>179</v>
      </c>
      <c r="B78" s="1" t="s">
        <v>180</v>
      </c>
      <c r="C78" s="1">
        <v>1992</v>
      </c>
      <c r="D78" s="21">
        <v>2005</v>
      </c>
      <c r="E78" s="21">
        <v>50000</v>
      </c>
      <c r="F78" s="52">
        <v>233887.5</v>
      </c>
      <c r="G78" s="13">
        <f t="shared" si="3"/>
        <v>283887.5</v>
      </c>
      <c r="H78" s="52"/>
    </row>
    <row r="79" spans="1:8" x14ac:dyDescent="0.3">
      <c r="A79" t="s">
        <v>179</v>
      </c>
      <c r="B79" s="1" t="s">
        <v>180</v>
      </c>
      <c r="C79" s="1">
        <v>1992</v>
      </c>
      <c r="D79" s="21">
        <v>2006</v>
      </c>
      <c r="E79" s="21">
        <v>50000</v>
      </c>
      <c r="F79" s="52">
        <v>230200</v>
      </c>
      <c r="G79" s="13">
        <f t="shared" si="3"/>
        <v>280200</v>
      </c>
      <c r="H79" s="52"/>
    </row>
    <row r="80" spans="1:8" x14ac:dyDescent="0.3">
      <c r="A80" t="s">
        <v>179</v>
      </c>
      <c r="B80" s="1" t="s">
        <v>180</v>
      </c>
      <c r="C80" s="1">
        <v>1992</v>
      </c>
      <c r="D80" s="21">
        <v>2007</v>
      </c>
      <c r="E80" s="21">
        <v>55000</v>
      </c>
      <c r="F80" s="52">
        <v>226512.5</v>
      </c>
      <c r="G80" s="13">
        <f t="shared" si="3"/>
        <v>281512.5</v>
      </c>
      <c r="H80" s="52"/>
    </row>
    <row r="81" spans="1:8" x14ac:dyDescent="0.3">
      <c r="A81" t="s">
        <v>179</v>
      </c>
      <c r="B81" s="1" t="s">
        <v>180</v>
      </c>
      <c r="C81" s="1">
        <v>1992</v>
      </c>
      <c r="D81" s="21">
        <v>2008</v>
      </c>
      <c r="E81" s="21">
        <v>60000</v>
      </c>
      <c r="F81" s="52">
        <v>222456.25</v>
      </c>
      <c r="G81" s="13">
        <f t="shared" si="3"/>
        <v>282456.25</v>
      </c>
      <c r="H81" s="52"/>
    </row>
    <row r="82" spans="1:8" x14ac:dyDescent="0.3">
      <c r="A82" t="s">
        <v>179</v>
      </c>
      <c r="B82" s="1" t="s">
        <v>180</v>
      </c>
      <c r="C82" s="1">
        <v>1992</v>
      </c>
      <c r="D82" s="21">
        <v>2009</v>
      </c>
      <c r="E82" s="21">
        <v>65000</v>
      </c>
      <c r="F82" s="52">
        <v>218031.25</v>
      </c>
      <c r="G82" s="13">
        <f t="shared" si="3"/>
        <v>283031.25</v>
      </c>
      <c r="H82" s="52"/>
    </row>
    <row r="83" spans="1:8" x14ac:dyDescent="0.3">
      <c r="A83" t="s">
        <v>179</v>
      </c>
      <c r="B83" s="1" t="s">
        <v>180</v>
      </c>
      <c r="C83" s="1">
        <v>1992</v>
      </c>
      <c r="D83" s="21">
        <v>2010</v>
      </c>
      <c r="E83" s="21">
        <v>70000</v>
      </c>
      <c r="F83" s="52">
        <v>213075</v>
      </c>
      <c r="G83" s="13">
        <f t="shared" si="3"/>
        <v>283075</v>
      </c>
      <c r="H83" s="52"/>
    </row>
    <row r="84" spans="1:8" x14ac:dyDescent="0.3">
      <c r="A84" t="s">
        <v>179</v>
      </c>
      <c r="B84" s="1" t="s">
        <v>180</v>
      </c>
      <c r="C84" s="1">
        <v>1992</v>
      </c>
      <c r="D84" s="21">
        <v>2011</v>
      </c>
      <c r="E84" s="21">
        <v>75000</v>
      </c>
      <c r="F84" s="52">
        <v>207737.5</v>
      </c>
      <c r="G84" s="13">
        <f t="shared" si="3"/>
        <v>282737.5</v>
      </c>
      <c r="H84" s="52"/>
    </row>
    <row r="85" spans="1:8" x14ac:dyDescent="0.3">
      <c r="A85" t="s">
        <v>179</v>
      </c>
      <c r="B85" s="1" t="s">
        <v>180</v>
      </c>
      <c r="C85" s="1">
        <v>1992</v>
      </c>
      <c r="D85" s="21">
        <v>2012</v>
      </c>
      <c r="E85" s="21">
        <v>80000</v>
      </c>
      <c r="F85" s="52">
        <v>202018.75</v>
      </c>
      <c r="G85" s="13">
        <f t="shared" si="3"/>
        <v>282018.75</v>
      </c>
      <c r="H85" s="52"/>
    </row>
    <row r="86" spans="1:8" x14ac:dyDescent="0.3">
      <c r="A86" t="s">
        <v>179</v>
      </c>
      <c r="B86" s="1" t="s">
        <v>180</v>
      </c>
      <c r="C86" s="1">
        <v>1992</v>
      </c>
      <c r="D86" s="21">
        <v>2013</v>
      </c>
      <c r="E86" s="21">
        <v>435000</v>
      </c>
      <c r="F86" s="52">
        <v>195918.75</v>
      </c>
      <c r="G86" s="13">
        <f t="shared" si="3"/>
        <v>630918.75</v>
      </c>
      <c r="H86" s="52"/>
    </row>
    <row r="87" spans="1:8" x14ac:dyDescent="0.3">
      <c r="A87" t="s">
        <v>179</v>
      </c>
      <c r="B87" s="1" t="s">
        <v>180</v>
      </c>
      <c r="C87" s="1">
        <v>1992</v>
      </c>
      <c r="D87" s="21">
        <v>2014</v>
      </c>
      <c r="E87" s="21">
        <v>465000</v>
      </c>
      <c r="F87" s="52">
        <v>162750</v>
      </c>
      <c r="G87" s="13">
        <f t="shared" si="3"/>
        <v>627750</v>
      </c>
      <c r="H87" s="52"/>
    </row>
    <row r="88" spans="1:8" x14ac:dyDescent="0.3">
      <c r="A88" t="s">
        <v>179</v>
      </c>
      <c r="B88" s="1" t="s">
        <v>180</v>
      </c>
      <c r="C88" s="1">
        <v>1992</v>
      </c>
      <c r="D88" s="21">
        <v>2015</v>
      </c>
      <c r="E88" s="21">
        <v>505000</v>
      </c>
      <c r="F88" s="52">
        <v>126712.5</v>
      </c>
      <c r="G88" s="13">
        <f t="shared" si="3"/>
        <v>631712.5</v>
      </c>
      <c r="H88" s="52"/>
    </row>
    <row r="89" spans="1:8" x14ac:dyDescent="0.3">
      <c r="A89" t="s">
        <v>179</v>
      </c>
      <c r="B89" s="1" t="s">
        <v>180</v>
      </c>
      <c r="C89" s="1">
        <v>1992</v>
      </c>
      <c r="D89" s="21">
        <v>2016</v>
      </c>
      <c r="E89" s="21">
        <v>545000</v>
      </c>
      <c r="F89" s="52">
        <v>87575</v>
      </c>
      <c r="G89" s="13">
        <f t="shared" si="3"/>
        <v>632575</v>
      </c>
      <c r="H89" s="52"/>
    </row>
    <row r="90" spans="1:8" x14ac:dyDescent="0.3">
      <c r="A90" t="s">
        <v>179</v>
      </c>
      <c r="B90" s="1" t="s">
        <v>180</v>
      </c>
      <c r="C90" s="1">
        <v>1992</v>
      </c>
      <c r="D90" s="21">
        <v>2017</v>
      </c>
      <c r="E90" s="21">
        <v>585000</v>
      </c>
      <c r="F90" s="52">
        <v>45337.5</v>
      </c>
      <c r="G90" s="13">
        <f t="shared" si="3"/>
        <v>630337.5</v>
      </c>
      <c r="H90" s="52"/>
    </row>
    <row r="91" spans="1:8" x14ac:dyDescent="0.3">
      <c r="A91" t="s">
        <v>179</v>
      </c>
      <c r="B91" s="1" t="s">
        <v>180</v>
      </c>
      <c r="C91" s="1">
        <v>1994</v>
      </c>
      <c r="D91" s="21">
        <v>1994</v>
      </c>
      <c r="E91" s="21"/>
      <c r="F91" s="21">
        <v>234423.33</v>
      </c>
      <c r="G91" s="13">
        <f t="shared" si="3"/>
        <v>234423.33</v>
      </c>
      <c r="H91" s="52"/>
    </row>
    <row r="92" spans="1:8" x14ac:dyDescent="0.3">
      <c r="A92" t="s">
        <v>179</v>
      </c>
      <c r="B92" s="1" t="s">
        <v>180</v>
      </c>
      <c r="C92" s="1">
        <v>1994</v>
      </c>
      <c r="D92" s="21">
        <v>1995</v>
      </c>
      <c r="E92" s="21" t="s">
        <v>192</v>
      </c>
      <c r="F92" s="21">
        <v>351635</v>
      </c>
      <c r="G92" s="13">
        <f t="shared" si="3"/>
        <v>351635</v>
      </c>
      <c r="H92" s="52"/>
    </row>
    <row r="93" spans="1:8" x14ac:dyDescent="0.3">
      <c r="A93" t="s">
        <v>179</v>
      </c>
      <c r="B93" s="1" t="s">
        <v>180</v>
      </c>
      <c r="C93" s="1">
        <v>1994</v>
      </c>
      <c r="D93" s="21">
        <v>1996</v>
      </c>
      <c r="E93" s="21" t="s">
        <v>192</v>
      </c>
      <c r="F93" s="21">
        <v>351635</v>
      </c>
      <c r="G93" s="13">
        <f t="shared" si="3"/>
        <v>351635</v>
      </c>
      <c r="H93" s="52"/>
    </row>
    <row r="94" spans="1:8" x14ac:dyDescent="0.3">
      <c r="A94" t="s">
        <v>179</v>
      </c>
      <c r="B94" s="1" t="s">
        <v>180</v>
      </c>
      <c r="C94" s="1">
        <v>1994</v>
      </c>
      <c r="D94" s="21">
        <v>1997</v>
      </c>
      <c r="E94" s="21" t="s">
        <v>192</v>
      </c>
      <c r="F94" s="21">
        <v>351635</v>
      </c>
      <c r="G94" s="13">
        <f t="shared" si="3"/>
        <v>351635</v>
      </c>
      <c r="H94" s="52"/>
    </row>
    <row r="95" spans="1:8" x14ac:dyDescent="0.3">
      <c r="A95" t="s">
        <v>179</v>
      </c>
      <c r="B95" s="1" t="s">
        <v>180</v>
      </c>
      <c r="C95" s="1">
        <v>1994</v>
      </c>
      <c r="D95" s="21">
        <v>1998</v>
      </c>
      <c r="E95" s="21" t="s">
        <v>192</v>
      </c>
      <c r="F95" s="21">
        <v>351635</v>
      </c>
      <c r="G95" s="13">
        <f t="shared" si="3"/>
        <v>351635</v>
      </c>
      <c r="H95" s="52"/>
    </row>
    <row r="96" spans="1:8" x14ac:dyDescent="0.3">
      <c r="A96" t="s">
        <v>179</v>
      </c>
      <c r="B96" s="1" t="s">
        <v>180</v>
      </c>
      <c r="C96" s="1">
        <v>1994</v>
      </c>
      <c r="D96" s="21">
        <v>1999</v>
      </c>
      <c r="E96" s="21">
        <v>75000</v>
      </c>
      <c r="F96" s="21">
        <v>351635</v>
      </c>
      <c r="G96" s="13">
        <f t="shared" si="3"/>
        <v>426635</v>
      </c>
      <c r="H96" s="52"/>
    </row>
    <row r="97" spans="1:7" x14ac:dyDescent="0.3">
      <c r="A97" t="s">
        <v>179</v>
      </c>
      <c r="B97" s="1" t="s">
        <v>180</v>
      </c>
      <c r="C97" s="1">
        <v>1994</v>
      </c>
      <c r="D97" s="21">
        <v>2000</v>
      </c>
      <c r="E97" s="21">
        <v>240000</v>
      </c>
      <c r="F97" s="21">
        <v>348635</v>
      </c>
      <c r="G97" s="13">
        <f t="shared" si="3"/>
        <v>588635</v>
      </c>
    </row>
    <row r="98" spans="1:7" x14ac:dyDescent="0.3">
      <c r="A98" t="s">
        <v>179</v>
      </c>
      <c r="B98" s="1" t="s">
        <v>180</v>
      </c>
      <c r="C98" s="1">
        <v>1994</v>
      </c>
      <c r="D98" s="21">
        <v>2001</v>
      </c>
      <c r="E98" s="21">
        <v>250000</v>
      </c>
      <c r="F98" s="21">
        <v>337595</v>
      </c>
      <c r="G98" s="13">
        <f t="shared" si="3"/>
        <v>587595</v>
      </c>
    </row>
    <row r="99" spans="1:7" x14ac:dyDescent="0.3">
      <c r="A99" t="s">
        <v>179</v>
      </c>
      <c r="B99" s="1" t="s">
        <v>180</v>
      </c>
      <c r="C99" s="1">
        <v>1994</v>
      </c>
      <c r="D99" s="21">
        <v>2002</v>
      </c>
      <c r="E99" s="21">
        <v>260000</v>
      </c>
      <c r="F99" s="21">
        <v>326095</v>
      </c>
      <c r="G99" s="13">
        <f t="shared" si="3"/>
        <v>586095</v>
      </c>
    </row>
    <row r="100" spans="1:7" x14ac:dyDescent="0.3">
      <c r="A100" t="s">
        <v>179</v>
      </c>
      <c r="B100" s="1" t="s">
        <v>180</v>
      </c>
      <c r="C100" s="1">
        <v>1994</v>
      </c>
      <c r="D100" s="21">
        <v>2003</v>
      </c>
      <c r="E100" s="21">
        <v>275000</v>
      </c>
      <c r="F100" s="21">
        <v>314135</v>
      </c>
      <c r="G100" s="13">
        <f t="shared" si="3"/>
        <v>589135</v>
      </c>
    </row>
    <row r="101" spans="1:7" x14ac:dyDescent="0.3">
      <c r="A101" t="s">
        <v>179</v>
      </c>
      <c r="B101" s="1" t="s">
        <v>180</v>
      </c>
      <c r="C101" s="1">
        <v>1994</v>
      </c>
      <c r="D101" s="21">
        <v>2004</v>
      </c>
      <c r="E101" s="21">
        <v>285000</v>
      </c>
      <c r="F101" s="21">
        <v>301485</v>
      </c>
      <c r="G101" s="13">
        <f t="shared" si="3"/>
        <v>586485</v>
      </c>
    </row>
    <row r="102" spans="1:7" x14ac:dyDescent="0.3">
      <c r="A102" t="s">
        <v>179</v>
      </c>
      <c r="B102" s="1" t="s">
        <v>180</v>
      </c>
      <c r="C102" s="1">
        <v>1994</v>
      </c>
      <c r="D102" s="21">
        <v>2005</v>
      </c>
      <c r="E102" s="21">
        <v>300000</v>
      </c>
      <c r="F102" s="21">
        <v>287947.5</v>
      </c>
      <c r="G102" s="13">
        <f t="shared" si="3"/>
        <v>587947.5</v>
      </c>
    </row>
    <row r="103" spans="1:7" x14ac:dyDescent="0.3">
      <c r="A103" t="s">
        <v>179</v>
      </c>
      <c r="B103" s="1" t="s">
        <v>180</v>
      </c>
      <c r="C103" s="1">
        <v>1994</v>
      </c>
      <c r="D103" s="21">
        <v>2006</v>
      </c>
      <c r="E103" s="21">
        <v>315000</v>
      </c>
      <c r="F103" s="21">
        <v>272947.5</v>
      </c>
      <c r="G103" s="13">
        <f t="shared" si="3"/>
        <v>587947.5</v>
      </c>
    </row>
    <row r="104" spans="1:7" x14ac:dyDescent="0.3">
      <c r="A104" t="s">
        <v>179</v>
      </c>
      <c r="B104" s="1" t="s">
        <v>180</v>
      </c>
      <c r="C104" s="1">
        <v>1994</v>
      </c>
      <c r="D104" s="21">
        <v>2007</v>
      </c>
      <c r="E104" s="21">
        <v>330000</v>
      </c>
      <c r="F104" s="21">
        <v>257197.5</v>
      </c>
      <c r="G104" s="13">
        <f t="shared" si="3"/>
        <v>587197.5</v>
      </c>
    </row>
    <row r="105" spans="1:7" x14ac:dyDescent="0.3">
      <c r="A105" t="s">
        <v>179</v>
      </c>
      <c r="B105" s="1" t="s">
        <v>180</v>
      </c>
      <c r="C105" s="1">
        <v>1994</v>
      </c>
      <c r="D105" s="21">
        <v>2008</v>
      </c>
      <c r="E105" s="21">
        <v>345000</v>
      </c>
      <c r="F105" s="21">
        <v>239872.5</v>
      </c>
      <c r="G105" s="13">
        <f t="shared" si="3"/>
        <v>584872.5</v>
      </c>
    </row>
    <row r="106" spans="1:7" x14ac:dyDescent="0.3">
      <c r="A106" t="s">
        <v>179</v>
      </c>
      <c r="B106" s="1" t="s">
        <v>180</v>
      </c>
      <c r="C106" s="1">
        <v>1994</v>
      </c>
      <c r="D106" s="21">
        <v>2009</v>
      </c>
      <c r="E106" s="21">
        <v>365000</v>
      </c>
      <c r="F106" s="21">
        <v>221760</v>
      </c>
      <c r="G106" s="13">
        <f t="shared" si="3"/>
        <v>586760</v>
      </c>
    </row>
    <row r="107" spans="1:7" x14ac:dyDescent="0.3">
      <c r="A107" t="s">
        <v>179</v>
      </c>
      <c r="B107" s="1" t="s">
        <v>180</v>
      </c>
      <c r="C107" s="1">
        <v>1994</v>
      </c>
      <c r="D107" s="21">
        <v>2010</v>
      </c>
      <c r="E107" s="21">
        <v>385000</v>
      </c>
      <c r="F107" s="21">
        <v>202597.5</v>
      </c>
      <c r="G107" s="13">
        <f t="shared" si="3"/>
        <v>587597.5</v>
      </c>
    </row>
    <row r="108" spans="1:7" x14ac:dyDescent="0.3">
      <c r="A108" t="s">
        <v>179</v>
      </c>
      <c r="B108" s="1" t="s">
        <v>180</v>
      </c>
      <c r="C108" s="1">
        <v>1994</v>
      </c>
      <c r="D108" s="21">
        <v>2011</v>
      </c>
      <c r="E108" s="21">
        <v>405000</v>
      </c>
      <c r="F108" s="21">
        <v>182385</v>
      </c>
      <c r="G108" s="13">
        <f t="shared" si="3"/>
        <v>587385</v>
      </c>
    </row>
    <row r="109" spans="1:7" x14ac:dyDescent="0.3">
      <c r="A109" t="s">
        <v>179</v>
      </c>
      <c r="B109" s="1" t="s">
        <v>180</v>
      </c>
      <c r="C109" s="1">
        <v>1994</v>
      </c>
      <c r="D109" s="21">
        <v>2012</v>
      </c>
      <c r="E109" s="21">
        <v>425000</v>
      </c>
      <c r="F109" s="21">
        <v>161122.5</v>
      </c>
      <c r="G109" s="13">
        <f t="shared" si="3"/>
        <v>586122.5</v>
      </c>
    </row>
    <row r="110" spans="1:7" x14ac:dyDescent="0.3">
      <c r="A110" t="s">
        <v>179</v>
      </c>
      <c r="B110" s="1" t="s">
        <v>180</v>
      </c>
      <c r="C110" s="1">
        <v>1994</v>
      </c>
      <c r="D110" s="21">
        <v>2013</v>
      </c>
      <c r="E110" s="21">
        <v>450000</v>
      </c>
      <c r="F110" s="21">
        <v>138810</v>
      </c>
      <c r="G110" s="13">
        <f t="shared" si="3"/>
        <v>588810</v>
      </c>
    </row>
    <row r="111" spans="1:7" x14ac:dyDescent="0.3">
      <c r="A111" t="s">
        <v>179</v>
      </c>
      <c r="B111" s="1" t="s">
        <v>180</v>
      </c>
      <c r="C111" s="1">
        <v>1994</v>
      </c>
      <c r="D111" s="21">
        <v>2014</v>
      </c>
      <c r="E111" s="21">
        <v>470000</v>
      </c>
      <c r="F111" s="21">
        <v>115185</v>
      </c>
      <c r="G111" s="13">
        <f t="shared" si="3"/>
        <v>585185</v>
      </c>
    </row>
    <row r="112" spans="1:7" x14ac:dyDescent="0.3">
      <c r="A112" t="s">
        <v>179</v>
      </c>
      <c r="B112" s="1" t="s">
        <v>180</v>
      </c>
      <c r="C112" s="1">
        <v>1994</v>
      </c>
      <c r="D112" s="21">
        <v>2015</v>
      </c>
      <c r="E112" s="21">
        <v>500000</v>
      </c>
      <c r="F112" s="21">
        <v>88395</v>
      </c>
      <c r="G112" s="13">
        <f t="shared" si="3"/>
        <v>588395</v>
      </c>
    </row>
    <row r="113" spans="1:7" x14ac:dyDescent="0.3">
      <c r="A113" t="s">
        <v>179</v>
      </c>
      <c r="B113" s="1" t="s">
        <v>180</v>
      </c>
      <c r="C113" s="1">
        <v>1994</v>
      </c>
      <c r="D113" s="21">
        <v>2016</v>
      </c>
      <c r="E113" s="21">
        <v>525000</v>
      </c>
      <c r="F113" s="21">
        <v>59895</v>
      </c>
      <c r="G113" s="13">
        <f t="shared" si="3"/>
        <v>584895</v>
      </c>
    </row>
    <row r="114" spans="1:7" x14ac:dyDescent="0.3">
      <c r="A114" t="s">
        <v>179</v>
      </c>
      <c r="B114" s="1" t="s">
        <v>180</v>
      </c>
      <c r="C114" s="1">
        <v>1994</v>
      </c>
      <c r="D114" s="21">
        <v>2017</v>
      </c>
      <c r="E114" s="21">
        <v>555000</v>
      </c>
      <c r="F114" s="21">
        <v>29970</v>
      </c>
      <c r="G114" s="13">
        <f t="shared" si="3"/>
        <v>584970</v>
      </c>
    </row>
    <row r="115" spans="1:7" x14ac:dyDescent="0.3">
      <c r="A115" t="s">
        <v>179</v>
      </c>
      <c r="B115" s="1" t="s">
        <v>180</v>
      </c>
      <c r="C115" s="1">
        <v>1994</v>
      </c>
      <c r="D115" s="21">
        <v>1994</v>
      </c>
      <c r="E115" s="21">
        <v>50000</v>
      </c>
      <c r="F115" s="21">
        <v>34575</v>
      </c>
      <c r="G115" s="13">
        <f t="shared" si="3"/>
        <v>84575</v>
      </c>
    </row>
    <row r="116" spans="1:7" x14ac:dyDescent="0.3">
      <c r="A116" t="s">
        <v>179</v>
      </c>
      <c r="B116" s="1" t="s">
        <v>180</v>
      </c>
      <c r="C116" s="1">
        <v>1994</v>
      </c>
      <c r="D116" s="21">
        <v>1995</v>
      </c>
      <c r="E116" s="21">
        <v>180000</v>
      </c>
      <c r="F116" s="21">
        <v>49862.5</v>
      </c>
      <c r="G116" s="13">
        <f t="shared" si="3"/>
        <v>229862.5</v>
      </c>
    </row>
    <row r="117" spans="1:7" x14ac:dyDescent="0.3">
      <c r="A117" t="s">
        <v>179</v>
      </c>
      <c r="B117" s="1" t="s">
        <v>180</v>
      </c>
      <c r="C117" s="1">
        <v>1994</v>
      </c>
      <c r="D117" s="21">
        <v>1996</v>
      </c>
      <c r="E117" s="21">
        <v>195000</v>
      </c>
      <c r="F117" s="21">
        <v>41762.5</v>
      </c>
      <c r="G117" s="13">
        <f t="shared" si="3"/>
        <v>236762.5</v>
      </c>
    </row>
    <row r="118" spans="1:7" x14ac:dyDescent="0.3">
      <c r="A118" t="s">
        <v>179</v>
      </c>
      <c r="B118" s="1" t="s">
        <v>180</v>
      </c>
      <c r="C118" s="1">
        <v>1994</v>
      </c>
      <c r="D118" s="21">
        <v>1997</v>
      </c>
      <c r="E118" s="21">
        <v>205000</v>
      </c>
      <c r="F118" s="21">
        <v>32012.5</v>
      </c>
      <c r="G118" s="13">
        <f t="shared" si="3"/>
        <v>237012.5</v>
      </c>
    </row>
    <row r="119" spans="1:7" x14ac:dyDescent="0.3">
      <c r="A119" t="s">
        <v>179</v>
      </c>
      <c r="B119" s="1" t="s">
        <v>180</v>
      </c>
      <c r="C119" s="1">
        <v>1994</v>
      </c>
      <c r="D119" s="21">
        <v>1998</v>
      </c>
      <c r="E119" s="21">
        <v>215000</v>
      </c>
      <c r="F119" s="21">
        <v>20737.5</v>
      </c>
      <c r="G119" s="13">
        <f t="shared" si="3"/>
        <v>235737.5</v>
      </c>
    </row>
    <row r="120" spans="1:7" x14ac:dyDescent="0.3">
      <c r="A120" t="s">
        <v>179</v>
      </c>
      <c r="B120" s="1" t="s">
        <v>180</v>
      </c>
      <c r="C120" s="1">
        <v>1994</v>
      </c>
      <c r="D120" s="21">
        <v>1999</v>
      </c>
      <c r="E120" s="21">
        <v>155000</v>
      </c>
      <c r="F120" s="21">
        <v>8912.5</v>
      </c>
      <c r="G120" s="13">
        <f t="shared" si="3"/>
        <v>163912.5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2"/>
  <sheetViews>
    <sheetView workbookViewId="0">
      <selection activeCell="A2" sqref="A2"/>
    </sheetView>
  </sheetViews>
  <sheetFormatPr defaultRowHeight="14.4" x14ac:dyDescent="0.3"/>
  <cols>
    <col min="1" max="16384" width="8.886718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</row>
    <row r="2" spans="1:9" x14ac:dyDescent="0.3">
      <c r="A2" s="7" t="s">
        <v>178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40"/>
  <sheetViews>
    <sheetView topLeftCell="A15" workbookViewId="0">
      <selection activeCell="C36" sqref="C36:C40"/>
    </sheetView>
  </sheetViews>
  <sheetFormatPr defaultRowHeight="14.4" x14ac:dyDescent="0.3"/>
  <cols>
    <col min="1" max="5" width="8.88671875" style="1"/>
    <col min="6" max="6" width="10.109375" style="1" bestFit="1" customWidth="1"/>
    <col min="7" max="7" width="11.33203125" style="1" bestFit="1" customWidth="1"/>
    <col min="8" max="16384" width="8.88671875" style="1"/>
  </cols>
  <sheetData>
    <row r="1" spans="1:8" x14ac:dyDescent="0.3">
      <c r="A1" s="18" t="s">
        <v>0</v>
      </c>
      <c r="B1" s="18" t="s">
        <v>27</v>
      </c>
      <c r="C1" s="18" t="s">
        <v>2</v>
      </c>
      <c r="D1" s="18" t="s">
        <v>120</v>
      </c>
      <c r="E1" s="18" t="s">
        <v>121</v>
      </c>
      <c r="F1" s="18" t="s">
        <v>122</v>
      </c>
      <c r="G1" s="18" t="s">
        <v>123</v>
      </c>
      <c r="H1" s="18" t="s">
        <v>96</v>
      </c>
    </row>
    <row r="2" spans="1:8" x14ac:dyDescent="0.3">
      <c r="A2" t="s">
        <v>179</v>
      </c>
      <c r="B2" s="1" t="s">
        <v>180</v>
      </c>
      <c r="C2" s="1">
        <v>2019</v>
      </c>
      <c r="D2" s="1" t="s">
        <v>206</v>
      </c>
      <c r="E2" s="1" t="s">
        <v>207</v>
      </c>
    </row>
    <row r="3" spans="1:8" x14ac:dyDescent="0.3">
      <c r="A3" t="s">
        <v>179</v>
      </c>
      <c r="B3" s="1" t="s">
        <v>180</v>
      </c>
      <c r="C3" s="1">
        <v>2019</v>
      </c>
      <c r="D3" s="1" t="s">
        <v>208</v>
      </c>
      <c r="E3" s="1" t="s">
        <v>209</v>
      </c>
    </row>
    <row r="4" spans="1:8" x14ac:dyDescent="0.3">
      <c r="A4" t="s">
        <v>179</v>
      </c>
      <c r="B4" s="1" t="s">
        <v>180</v>
      </c>
      <c r="C4" s="1">
        <v>2019</v>
      </c>
      <c r="D4" s="1" t="s">
        <v>210</v>
      </c>
      <c r="E4" s="1" t="s">
        <v>211</v>
      </c>
    </row>
    <row r="5" spans="1:8" x14ac:dyDescent="0.3">
      <c r="A5" t="s">
        <v>179</v>
      </c>
      <c r="B5" s="1" t="s">
        <v>180</v>
      </c>
      <c r="C5" s="1">
        <v>2019</v>
      </c>
      <c r="D5" s="1" t="s">
        <v>212</v>
      </c>
      <c r="E5" s="1" t="s">
        <v>213</v>
      </c>
    </row>
    <row r="6" spans="1:8" x14ac:dyDescent="0.3">
      <c r="A6" t="s">
        <v>179</v>
      </c>
      <c r="B6" s="1" t="s">
        <v>180</v>
      </c>
      <c r="C6" s="1">
        <v>2019</v>
      </c>
      <c r="D6" s="1" t="s">
        <v>214</v>
      </c>
      <c r="E6" s="1" t="s">
        <v>215</v>
      </c>
    </row>
    <row r="7" spans="1:8" x14ac:dyDescent="0.3">
      <c r="A7" t="s">
        <v>179</v>
      </c>
      <c r="B7" s="1" t="s">
        <v>180</v>
      </c>
      <c r="C7" s="1">
        <v>2018</v>
      </c>
      <c r="D7" s="1" t="s">
        <v>206</v>
      </c>
      <c r="E7" s="1" t="s">
        <v>207</v>
      </c>
    </row>
    <row r="8" spans="1:8" x14ac:dyDescent="0.3">
      <c r="A8" t="s">
        <v>179</v>
      </c>
      <c r="B8" s="1" t="s">
        <v>180</v>
      </c>
      <c r="C8" s="1">
        <v>2018</v>
      </c>
      <c r="D8" s="1" t="s">
        <v>208</v>
      </c>
      <c r="E8" s="1" t="s">
        <v>209</v>
      </c>
    </row>
    <row r="9" spans="1:8" x14ac:dyDescent="0.3">
      <c r="A9" t="s">
        <v>179</v>
      </c>
      <c r="B9" s="1" t="s">
        <v>180</v>
      </c>
      <c r="C9" s="1">
        <v>2018</v>
      </c>
      <c r="D9" s="1" t="s">
        <v>210</v>
      </c>
      <c r="E9" s="1" t="s">
        <v>211</v>
      </c>
    </row>
    <row r="10" spans="1:8" x14ac:dyDescent="0.3">
      <c r="A10" t="s">
        <v>179</v>
      </c>
      <c r="B10" s="1" t="s">
        <v>180</v>
      </c>
      <c r="C10" s="1">
        <v>2018</v>
      </c>
      <c r="D10" s="1" t="s">
        <v>212</v>
      </c>
      <c r="E10" s="1" t="s">
        <v>213</v>
      </c>
    </row>
    <row r="11" spans="1:8" x14ac:dyDescent="0.3">
      <c r="A11" t="s">
        <v>179</v>
      </c>
      <c r="B11" s="1" t="s">
        <v>180</v>
      </c>
      <c r="C11" s="1">
        <v>2018</v>
      </c>
      <c r="D11" s="1" t="s">
        <v>214</v>
      </c>
      <c r="E11" s="1" t="s">
        <v>215</v>
      </c>
    </row>
    <row r="12" spans="1:8" x14ac:dyDescent="0.3">
      <c r="A12" t="s">
        <v>179</v>
      </c>
      <c r="B12" s="1" t="s">
        <v>180</v>
      </c>
      <c r="C12" s="1">
        <v>2017</v>
      </c>
      <c r="D12" s="1" t="s">
        <v>206</v>
      </c>
      <c r="E12" s="1" t="s">
        <v>207</v>
      </c>
    </row>
    <row r="13" spans="1:8" x14ac:dyDescent="0.3">
      <c r="A13" t="s">
        <v>179</v>
      </c>
      <c r="B13" s="1" t="s">
        <v>180</v>
      </c>
      <c r="C13" s="1">
        <v>2017</v>
      </c>
      <c r="D13" s="1" t="s">
        <v>208</v>
      </c>
      <c r="E13" s="1" t="s">
        <v>209</v>
      </c>
    </row>
    <row r="14" spans="1:8" x14ac:dyDescent="0.3">
      <c r="A14" t="s">
        <v>179</v>
      </c>
      <c r="B14" s="1" t="s">
        <v>180</v>
      </c>
      <c r="C14" s="1">
        <v>2017</v>
      </c>
      <c r="D14" s="1" t="s">
        <v>210</v>
      </c>
      <c r="E14" s="1" t="s">
        <v>215</v>
      </c>
    </row>
    <row r="15" spans="1:8" x14ac:dyDescent="0.3">
      <c r="A15" t="s">
        <v>179</v>
      </c>
      <c r="B15" s="1" t="s">
        <v>180</v>
      </c>
      <c r="C15" s="1">
        <v>2017</v>
      </c>
      <c r="D15" s="1" t="s">
        <v>212</v>
      </c>
      <c r="E15" s="1" t="s">
        <v>213</v>
      </c>
    </row>
    <row r="16" spans="1:8" x14ac:dyDescent="0.3">
      <c r="A16" t="s">
        <v>179</v>
      </c>
      <c r="B16" s="1" t="s">
        <v>180</v>
      </c>
      <c r="C16" s="1">
        <v>2003</v>
      </c>
      <c r="D16" s="1" t="s">
        <v>381</v>
      </c>
      <c r="E16" s="1" t="s">
        <v>207</v>
      </c>
    </row>
    <row r="17" spans="1:5" x14ac:dyDescent="0.3">
      <c r="A17" t="s">
        <v>179</v>
      </c>
      <c r="B17" s="1" t="s">
        <v>180</v>
      </c>
      <c r="C17" s="1">
        <v>2003</v>
      </c>
      <c r="D17" s="1" t="s">
        <v>382</v>
      </c>
      <c r="E17" s="1" t="s">
        <v>209</v>
      </c>
    </row>
    <row r="18" spans="1:5" x14ac:dyDescent="0.3">
      <c r="A18" t="s">
        <v>179</v>
      </c>
      <c r="B18" s="1" t="s">
        <v>180</v>
      </c>
      <c r="C18" s="1">
        <v>2003</v>
      </c>
      <c r="D18" s="1" t="s">
        <v>383</v>
      </c>
      <c r="E18" s="1" t="s">
        <v>213</v>
      </c>
    </row>
    <row r="19" spans="1:5" x14ac:dyDescent="0.3">
      <c r="A19" t="s">
        <v>179</v>
      </c>
      <c r="B19" s="1" t="s">
        <v>180</v>
      </c>
      <c r="C19" s="1">
        <v>2003</v>
      </c>
      <c r="D19" s="1" t="s">
        <v>384</v>
      </c>
      <c r="E19" s="1" t="s">
        <v>211</v>
      </c>
    </row>
    <row r="20" spans="1:5" x14ac:dyDescent="0.3">
      <c r="A20" t="s">
        <v>179</v>
      </c>
      <c r="B20" s="1" t="s">
        <v>180</v>
      </c>
      <c r="C20" s="1">
        <v>2003</v>
      </c>
      <c r="D20" s="1" t="s">
        <v>385</v>
      </c>
      <c r="E20" s="1" t="s">
        <v>215</v>
      </c>
    </row>
    <row r="21" spans="1:5" x14ac:dyDescent="0.3">
      <c r="A21" t="s">
        <v>179</v>
      </c>
      <c r="B21" s="1" t="s">
        <v>180</v>
      </c>
      <c r="C21" s="1">
        <v>1998</v>
      </c>
      <c r="D21" s="1" t="s">
        <v>438</v>
      </c>
      <c r="E21" s="1" t="s">
        <v>207</v>
      </c>
    </row>
    <row r="22" spans="1:5" x14ac:dyDescent="0.3">
      <c r="A22" t="s">
        <v>179</v>
      </c>
      <c r="B22" s="1" t="s">
        <v>180</v>
      </c>
      <c r="C22" s="1">
        <v>1998</v>
      </c>
      <c r="D22" s="1" t="s">
        <v>439</v>
      </c>
      <c r="E22" s="1" t="s">
        <v>209</v>
      </c>
    </row>
    <row r="23" spans="1:5" x14ac:dyDescent="0.3">
      <c r="A23" t="s">
        <v>179</v>
      </c>
      <c r="B23" s="1" t="s">
        <v>180</v>
      </c>
      <c r="C23" s="1">
        <v>1998</v>
      </c>
      <c r="D23" s="1" t="s">
        <v>383</v>
      </c>
      <c r="E23" s="1" t="s">
        <v>213</v>
      </c>
    </row>
    <row r="24" spans="1:5" x14ac:dyDescent="0.3">
      <c r="A24" t="s">
        <v>179</v>
      </c>
      <c r="B24" s="1" t="s">
        <v>180</v>
      </c>
      <c r="C24" s="1">
        <v>1998</v>
      </c>
      <c r="D24" s="1" t="s">
        <v>440</v>
      </c>
      <c r="E24" s="1" t="s">
        <v>211</v>
      </c>
    </row>
    <row r="25" spans="1:5" x14ac:dyDescent="0.3">
      <c r="A25" t="s">
        <v>179</v>
      </c>
      <c r="B25" s="1" t="s">
        <v>180</v>
      </c>
      <c r="C25" s="1">
        <v>1998</v>
      </c>
      <c r="D25" s="1" t="s">
        <v>384</v>
      </c>
      <c r="E25" s="1" t="s">
        <v>215</v>
      </c>
    </row>
    <row r="26" spans="1:5" x14ac:dyDescent="0.3">
      <c r="A26" t="s">
        <v>179</v>
      </c>
      <c r="B26" s="1" t="s">
        <v>180</v>
      </c>
      <c r="C26" s="1">
        <v>1995</v>
      </c>
      <c r="D26" s="1" t="s">
        <v>383</v>
      </c>
      <c r="E26" s="1" t="s">
        <v>207</v>
      </c>
    </row>
    <row r="27" spans="1:5" x14ac:dyDescent="0.3">
      <c r="A27" t="s">
        <v>179</v>
      </c>
      <c r="B27" s="1" t="s">
        <v>180</v>
      </c>
      <c r="C27" s="1">
        <v>1995</v>
      </c>
      <c r="D27" s="1" t="s">
        <v>457</v>
      </c>
      <c r="E27" s="1" t="s">
        <v>209</v>
      </c>
    </row>
    <row r="28" spans="1:5" x14ac:dyDescent="0.3">
      <c r="A28" t="s">
        <v>179</v>
      </c>
      <c r="B28" s="1" t="s">
        <v>180</v>
      </c>
      <c r="C28" s="1">
        <v>1995</v>
      </c>
      <c r="D28" s="1" t="s">
        <v>384</v>
      </c>
      <c r="E28" s="1" t="s">
        <v>213</v>
      </c>
    </row>
    <row r="29" spans="1:5" x14ac:dyDescent="0.3">
      <c r="A29" t="s">
        <v>179</v>
      </c>
      <c r="B29" s="1" t="s">
        <v>180</v>
      </c>
      <c r="C29" s="1">
        <v>1995</v>
      </c>
      <c r="D29" s="1" t="s">
        <v>438</v>
      </c>
      <c r="E29" s="1" t="s">
        <v>211</v>
      </c>
    </row>
    <row r="30" spans="1:5" x14ac:dyDescent="0.3">
      <c r="A30" t="s">
        <v>179</v>
      </c>
      <c r="B30" s="1" t="s">
        <v>180</v>
      </c>
      <c r="C30" s="1">
        <v>1995</v>
      </c>
      <c r="D30" s="1" t="s">
        <v>439</v>
      </c>
      <c r="E30" s="1" t="s">
        <v>215</v>
      </c>
    </row>
    <row r="31" spans="1:5" x14ac:dyDescent="0.3">
      <c r="A31" t="s">
        <v>179</v>
      </c>
      <c r="B31" s="1" t="s">
        <v>180</v>
      </c>
      <c r="C31" s="1">
        <v>1994</v>
      </c>
      <c r="D31" s="1" t="s">
        <v>440</v>
      </c>
      <c r="E31" s="1" t="s">
        <v>207</v>
      </c>
    </row>
    <row r="32" spans="1:5" x14ac:dyDescent="0.3">
      <c r="A32" t="s">
        <v>179</v>
      </c>
      <c r="B32" s="1" t="s">
        <v>180</v>
      </c>
      <c r="C32" s="1">
        <v>1994</v>
      </c>
      <c r="D32" s="1" t="s">
        <v>384</v>
      </c>
      <c r="E32" s="1" t="s">
        <v>209</v>
      </c>
    </row>
    <row r="33" spans="1:5" x14ac:dyDescent="0.3">
      <c r="A33" t="s">
        <v>179</v>
      </c>
      <c r="B33" s="1" t="s">
        <v>180</v>
      </c>
      <c r="C33" s="1">
        <v>1994</v>
      </c>
      <c r="D33" s="1" t="s">
        <v>381</v>
      </c>
      <c r="E33" s="1" t="s">
        <v>213</v>
      </c>
    </row>
    <row r="34" spans="1:5" x14ac:dyDescent="0.3">
      <c r="A34" t="s">
        <v>179</v>
      </c>
      <c r="B34" s="1" t="s">
        <v>180</v>
      </c>
      <c r="C34" s="1">
        <v>1994</v>
      </c>
      <c r="D34" s="1" t="s">
        <v>383</v>
      </c>
      <c r="E34" s="1" t="s">
        <v>211</v>
      </c>
    </row>
    <row r="35" spans="1:5" x14ac:dyDescent="0.3">
      <c r="A35" t="s">
        <v>179</v>
      </c>
      <c r="B35" s="1" t="s">
        <v>180</v>
      </c>
      <c r="C35" s="1">
        <v>1994</v>
      </c>
      <c r="D35" s="1" t="s">
        <v>457</v>
      </c>
      <c r="E35" s="1" t="s">
        <v>215</v>
      </c>
    </row>
    <row r="36" spans="1:5" x14ac:dyDescent="0.3">
      <c r="A36" t="s">
        <v>179</v>
      </c>
      <c r="B36" s="1" t="s">
        <v>180</v>
      </c>
      <c r="C36" s="1">
        <v>1992</v>
      </c>
      <c r="D36" s="1" t="s">
        <v>440</v>
      </c>
      <c r="E36" s="1" t="s">
        <v>207</v>
      </c>
    </row>
    <row r="37" spans="1:5" x14ac:dyDescent="0.3">
      <c r="A37" t="s">
        <v>179</v>
      </c>
      <c r="B37" s="1" t="s">
        <v>180</v>
      </c>
      <c r="C37" s="1">
        <v>1992</v>
      </c>
      <c r="D37" s="1" t="s">
        <v>384</v>
      </c>
      <c r="E37" s="1" t="s">
        <v>209</v>
      </c>
    </row>
    <row r="38" spans="1:5" x14ac:dyDescent="0.3">
      <c r="A38" t="s">
        <v>179</v>
      </c>
      <c r="B38" s="1" t="s">
        <v>180</v>
      </c>
      <c r="C38" s="1">
        <v>1992</v>
      </c>
      <c r="D38" s="1" t="s">
        <v>381</v>
      </c>
      <c r="E38" s="1" t="s">
        <v>213</v>
      </c>
    </row>
    <row r="39" spans="1:5" x14ac:dyDescent="0.3">
      <c r="A39" t="s">
        <v>179</v>
      </c>
      <c r="B39" s="1" t="s">
        <v>180</v>
      </c>
      <c r="C39" s="1">
        <v>1992</v>
      </c>
      <c r="D39" s="1" t="s">
        <v>383</v>
      </c>
      <c r="E39" s="1" t="s">
        <v>211</v>
      </c>
    </row>
    <row r="40" spans="1:5" x14ac:dyDescent="0.3">
      <c r="A40" t="s">
        <v>179</v>
      </c>
      <c r="B40" s="1" t="s">
        <v>180</v>
      </c>
      <c r="C40" s="1">
        <v>1992</v>
      </c>
      <c r="D40" s="1" t="s">
        <v>457</v>
      </c>
      <c r="E40" s="1" t="s">
        <v>215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9"/>
  <sheetViews>
    <sheetView topLeftCell="N1" workbookViewId="0">
      <selection activeCell="U9" sqref="U9"/>
    </sheetView>
  </sheetViews>
  <sheetFormatPr defaultRowHeight="14.4" x14ac:dyDescent="0.3"/>
  <cols>
    <col min="1" max="1" width="6.6640625" style="1" bestFit="1" customWidth="1"/>
    <col min="2" max="2" width="5.77734375" style="1" bestFit="1" customWidth="1"/>
    <col min="3" max="3" width="7" style="1" bestFit="1" customWidth="1"/>
    <col min="4" max="4" width="8.44140625" style="1" bestFit="1" customWidth="1"/>
    <col min="5" max="5" width="11.21875" style="1" bestFit="1" customWidth="1"/>
    <col min="6" max="6" width="10.88671875" style="1" bestFit="1" customWidth="1"/>
    <col min="7" max="7" width="11.44140625" style="1" bestFit="1" customWidth="1"/>
    <col min="8" max="8" width="12.77734375" style="1" bestFit="1" customWidth="1"/>
    <col min="9" max="9" width="8.44140625" style="1" bestFit="1" customWidth="1"/>
    <col min="10" max="10" width="14.88671875" style="1" bestFit="1" customWidth="1"/>
    <col min="11" max="11" width="15" style="1" bestFit="1" customWidth="1"/>
    <col min="12" max="12" width="11.21875" style="1" bestFit="1" customWidth="1"/>
    <col min="13" max="13" width="15.88671875" style="1" bestFit="1" customWidth="1"/>
    <col min="14" max="14" width="7.33203125" style="1" bestFit="1" customWidth="1"/>
    <col min="15" max="15" width="9.44140625" style="1" bestFit="1" customWidth="1"/>
    <col min="16" max="16" width="11" style="1" bestFit="1" customWidth="1"/>
    <col min="17" max="17" width="16.109375" style="1" bestFit="1" customWidth="1"/>
    <col min="18" max="18" width="18.77734375" style="1" bestFit="1" customWidth="1"/>
    <col min="19" max="19" width="9.109375" style="1" bestFit="1" customWidth="1"/>
    <col min="20" max="20" width="7.88671875" style="1" bestFit="1" customWidth="1"/>
    <col min="21" max="21" width="5.6640625" style="1" bestFit="1" customWidth="1"/>
    <col min="22" max="16384" width="8.88671875" style="1"/>
  </cols>
  <sheetData>
    <row r="1" spans="1:21" x14ac:dyDescent="0.3">
      <c r="A1" s="2" t="s">
        <v>0</v>
      </c>
      <c r="B1" s="2" t="s">
        <v>27</v>
      </c>
      <c r="C1" s="2" t="s">
        <v>2</v>
      </c>
      <c r="D1" s="2" t="s">
        <v>4</v>
      </c>
      <c r="E1" s="2" t="s">
        <v>24</v>
      </c>
      <c r="F1" s="2" t="s">
        <v>9</v>
      </c>
      <c r="G1" s="4" t="s">
        <v>124</v>
      </c>
      <c r="H1" s="4" t="s">
        <v>173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125</v>
      </c>
      <c r="U1" s="2" t="s">
        <v>96</v>
      </c>
    </row>
    <row r="2" spans="1:21" x14ac:dyDescent="0.3">
      <c r="A2" s="1" t="s">
        <v>179</v>
      </c>
      <c r="B2" s="1" t="s">
        <v>180</v>
      </c>
      <c r="C2" s="1">
        <v>2019</v>
      </c>
      <c r="D2" s="1">
        <v>1953</v>
      </c>
      <c r="E2" s="1" t="s">
        <v>181</v>
      </c>
      <c r="F2" s="1" t="s">
        <v>217</v>
      </c>
      <c r="G2" s="1" t="s">
        <v>218</v>
      </c>
      <c r="H2" s="1" t="s">
        <v>188</v>
      </c>
      <c r="I2" s="1" t="s">
        <v>216</v>
      </c>
      <c r="K2" s="22">
        <v>74776.98</v>
      </c>
      <c r="L2" s="1">
        <v>21</v>
      </c>
      <c r="N2" s="1">
        <v>4</v>
      </c>
      <c r="O2" s="1">
        <v>1</v>
      </c>
      <c r="P2" s="1" t="s">
        <v>188</v>
      </c>
      <c r="Q2" s="20">
        <v>15685</v>
      </c>
      <c r="S2" s="1">
        <v>70</v>
      </c>
      <c r="U2" s="1" t="s">
        <v>220</v>
      </c>
    </row>
    <row r="3" spans="1:21" x14ac:dyDescent="0.3">
      <c r="A3" s="1" t="s">
        <v>179</v>
      </c>
      <c r="B3" s="1" t="s">
        <v>180</v>
      </c>
      <c r="C3" s="1">
        <v>2018</v>
      </c>
      <c r="D3" s="1">
        <v>1953</v>
      </c>
      <c r="E3" s="1" t="s">
        <v>181</v>
      </c>
      <c r="F3" s="1" t="s">
        <v>217</v>
      </c>
      <c r="G3" s="1" t="s">
        <v>218</v>
      </c>
      <c r="H3" s="1" t="s">
        <v>188</v>
      </c>
      <c r="I3" s="1" t="s">
        <v>216</v>
      </c>
      <c r="K3" s="1">
        <v>74777</v>
      </c>
      <c r="L3" s="1">
        <v>21</v>
      </c>
      <c r="N3" s="1">
        <v>4</v>
      </c>
      <c r="O3" s="1">
        <v>1</v>
      </c>
      <c r="P3" s="1" t="s">
        <v>188</v>
      </c>
      <c r="Q3" s="1">
        <v>15685</v>
      </c>
      <c r="R3" s="1">
        <v>6700</v>
      </c>
      <c r="S3" s="1">
        <v>70</v>
      </c>
      <c r="U3" s="1" t="s">
        <v>220</v>
      </c>
    </row>
    <row r="4" spans="1:21" x14ac:dyDescent="0.3">
      <c r="A4" s="1" t="s">
        <v>179</v>
      </c>
      <c r="B4" s="1" t="s">
        <v>180</v>
      </c>
      <c r="C4" s="1">
        <v>2017</v>
      </c>
      <c r="D4" s="1">
        <v>1953</v>
      </c>
      <c r="E4" s="1" t="s">
        <v>181</v>
      </c>
      <c r="F4" s="1" t="s">
        <v>217</v>
      </c>
      <c r="G4" s="1" t="s">
        <v>218</v>
      </c>
      <c r="H4" s="1" t="s">
        <v>188</v>
      </c>
      <c r="I4" s="1" t="s">
        <v>216</v>
      </c>
      <c r="K4" s="1">
        <v>38220.339999999997</v>
      </c>
      <c r="L4" s="1">
        <v>20</v>
      </c>
      <c r="N4" s="1">
        <v>4</v>
      </c>
      <c r="O4" s="1">
        <v>1</v>
      </c>
      <c r="P4" s="1" t="s">
        <v>188</v>
      </c>
      <c r="Q4" s="1">
        <v>15685</v>
      </c>
      <c r="R4" s="1">
        <v>6700</v>
      </c>
      <c r="S4" s="1">
        <v>70</v>
      </c>
      <c r="U4" s="1" t="s">
        <v>346</v>
      </c>
    </row>
    <row r="5" spans="1:21" x14ac:dyDescent="0.3">
      <c r="A5" s="1" t="s">
        <v>179</v>
      </c>
      <c r="B5" s="1" t="s">
        <v>180</v>
      </c>
      <c r="C5" s="1">
        <v>2003</v>
      </c>
      <c r="D5" s="1">
        <v>1953</v>
      </c>
      <c r="E5" s="1" t="s">
        <v>181</v>
      </c>
      <c r="F5" s="1" t="s">
        <v>217</v>
      </c>
      <c r="G5" s="1" t="s">
        <v>218</v>
      </c>
      <c r="H5" s="1" t="s">
        <v>188</v>
      </c>
      <c r="I5" s="1" t="s">
        <v>386</v>
      </c>
      <c r="N5" s="1">
        <v>4</v>
      </c>
      <c r="O5" s="1">
        <v>1</v>
      </c>
      <c r="P5" s="1" t="s">
        <v>188</v>
      </c>
      <c r="R5" s="1">
        <v>6700</v>
      </c>
      <c r="S5" s="1">
        <v>70</v>
      </c>
    </row>
    <row r="6" spans="1:21" x14ac:dyDescent="0.3">
      <c r="A6" s="1" t="s">
        <v>179</v>
      </c>
      <c r="B6" s="1" t="s">
        <v>180</v>
      </c>
      <c r="C6" s="1">
        <v>1998</v>
      </c>
      <c r="D6" s="1">
        <v>1953</v>
      </c>
      <c r="E6" s="1" t="s">
        <v>181</v>
      </c>
      <c r="F6" s="1" t="s">
        <v>217</v>
      </c>
      <c r="G6" s="1" t="s">
        <v>218</v>
      </c>
      <c r="H6" s="1" t="s">
        <v>188</v>
      </c>
      <c r="I6" s="1" t="s">
        <v>386</v>
      </c>
      <c r="N6" s="1">
        <v>4</v>
      </c>
      <c r="O6" s="1">
        <v>1</v>
      </c>
      <c r="P6" s="1" t="s">
        <v>188</v>
      </c>
      <c r="T6" s="1">
        <v>5</v>
      </c>
    </row>
    <row r="7" spans="1:21" x14ac:dyDescent="0.3">
      <c r="A7" s="1" t="s">
        <v>179</v>
      </c>
      <c r="B7" s="1" t="s">
        <v>180</v>
      </c>
      <c r="C7" s="1">
        <v>1995</v>
      </c>
      <c r="D7" s="1">
        <v>1953</v>
      </c>
      <c r="E7" s="1" t="s">
        <v>181</v>
      </c>
      <c r="F7" s="1" t="s">
        <v>217</v>
      </c>
      <c r="G7" s="1" t="s">
        <v>218</v>
      </c>
      <c r="H7" s="1" t="s">
        <v>188</v>
      </c>
      <c r="I7" s="1" t="s">
        <v>386</v>
      </c>
      <c r="N7" s="1">
        <v>3</v>
      </c>
      <c r="O7" s="1">
        <v>1</v>
      </c>
      <c r="P7" s="1" t="s">
        <v>188</v>
      </c>
      <c r="T7" s="1">
        <v>5</v>
      </c>
      <c r="U7" s="1" t="s">
        <v>458</v>
      </c>
    </row>
    <row r="8" spans="1:21" x14ac:dyDescent="0.3">
      <c r="A8" s="1" t="s">
        <v>179</v>
      </c>
      <c r="B8" s="1" t="s">
        <v>180</v>
      </c>
      <c r="C8" s="1">
        <v>1994</v>
      </c>
      <c r="D8" s="1">
        <v>1953</v>
      </c>
      <c r="E8" s="1" t="s">
        <v>181</v>
      </c>
      <c r="F8" s="1" t="s">
        <v>217</v>
      </c>
      <c r="G8" s="1" t="s">
        <v>218</v>
      </c>
      <c r="H8" s="1" t="s">
        <v>188</v>
      </c>
      <c r="I8" s="1" t="s">
        <v>386</v>
      </c>
      <c r="N8" s="1">
        <v>3</v>
      </c>
      <c r="O8" s="1">
        <v>1</v>
      </c>
      <c r="P8" s="1" t="s">
        <v>188</v>
      </c>
      <c r="T8" s="1">
        <v>5</v>
      </c>
    </row>
    <row r="9" spans="1:21" x14ac:dyDescent="0.3">
      <c r="A9" s="1" t="s">
        <v>179</v>
      </c>
      <c r="B9" s="1" t="s">
        <v>180</v>
      </c>
      <c r="C9" s="1">
        <v>1992</v>
      </c>
      <c r="D9" s="1">
        <v>1953</v>
      </c>
      <c r="E9" s="1" t="s">
        <v>181</v>
      </c>
      <c r="F9" s="1" t="s">
        <v>217</v>
      </c>
      <c r="G9" s="1" t="s">
        <v>218</v>
      </c>
      <c r="H9" s="1" t="s">
        <v>188</v>
      </c>
      <c r="I9" s="1" t="s">
        <v>386</v>
      </c>
      <c r="N9" s="1">
        <v>3</v>
      </c>
      <c r="O9" s="1">
        <v>1</v>
      </c>
      <c r="P9" s="1" t="s">
        <v>188</v>
      </c>
      <c r="Q9" s="1">
        <f>17094+1310</f>
        <v>18404</v>
      </c>
      <c r="R9" s="1">
        <f>5744+500</f>
        <v>6244</v>
      </c>
      <c r="T9" s="1">
        <v>5</v>
      </c>
      <c r="U9" s="1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  <vt:lpstr>financialIndicators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Rachel Bash</cp:lastModifiedBy>
  <cp:lastPrinted>2019-09-18T00:21:19Z</cp:lastPrinted>
  <dcterms:created xsi:type="dcterms:W3CDTF">2019-08-01T16:52:11Z</dcterms:created>
  <dcterms:modified xsi:type="dcterms:W3CDTF">2020-01-28T22:28:10Z</dcterms:modified>
</cp:coreProperties>
</file>