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alke\OneDrive\Documents\Duke\Masters Project\Shrinking_Cities_MP\DATA\RAW\bond_data\"/>
    </mc:Choice>
  </mc:AlternateContent>
  <xr:revisionPtr revIDLastSave="0" documentId="13_ncr:1_{673845D1-DA10-445B-81FE-4CCCFDD1AC20}" xr6:coauthVersionLast="45" xr6:coauthVersionMax="45" xr10:uidLastSave="{00000000-0000-0000-0000-000000000000}"/>
  <bookViews>
    <workbookView xWindow="2230" yWindow="1300" windowWidth="14400" windowHeight="7360" firstSheet="11" activeTab="12" xr2:uid="{00000000-000D-0000-FFFF-FFFF00000000}"/>
  </bookViews>
  <sheets>
    <sheet name="Notes" sheetId="18" r:id="rId1"/>
    <sheet name="basicInfo" sheetId="1" r:id="rId2"/>
    <sheet name="maturitySched" sheetId="2" r:id="rId3"/>
    <sheet name="bondPurpose" sheetId="5" r:id="rId4"/>
    <sheet name="otherDebt" sheetId="3" r:id="rId5"/>
    <sheet name="longTerm" sheetId="19" r:id="rId6"/>
    <sheet name="debtService" sheetId="20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7" r:id="rId17"/>
    <sheet name="fiscal" sheetId="16" r:id="rId18"/>
    <sheet name="assets" sheetId="21" r:id="rId19"/>
    <sheet name="revCollect" sheetId="15" r:id="rId20"/>
    <sheet name="financialIndicators" sheetId="22" r:id="rId21"/>
  </sheets>
  <definedNames>
    <definedName name="_xlnm._FilterDatabase" localSheetId="13" hidden="1">usage!$A$1:$K$9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22" l="1"/>
  <c r="E21" i="22"/>
  <c r="E20" i="22"/>
  <c r="E18" i="22"/>
  <c r="AI26" i="22"/>
  <c r="AH26" i="22"/>
  <c r="AG26" i="22"/>
  <c r="AD26" i="22"/>
  <c r="AC26" i="22"/>
  <c r="V26" i="22"/>
  <c r="U26" i="22"/>
  <c r="S26" i="22"/>
  <c r="N26" i="22"/>
  <c r="M26" i="22"/>
  <c r="L26" i="22"/>
  <c r="F26" i="22"/>
  <c r="E26" i="22"/>
  <c r="AK25" i="22"/>
  <c r="AK26" i="22" s="1"/>
  <c r="AJ25" i="22"/>
  <c r="AJ26" i="22" s="1"/>
  <c r="AF25" i="22"/>
  <c r="AF26" i="22" s="1"/>
  <c r="AE25" i="22"/>
  <c r="AE26" i="22" s="1"/>
  <c r="AD25" i="22"/>
  <c r="AC25" i="22"/>
  <c r="AB25" i="22"/>
  <c r="AB26" i="22" s="1"/>
  <c r="AA25" i="22"/>
  <c r="AA26" i="22" s="1"/>
  <c r="Z25" i="22"/>
  <c r="Z26" i="22" s="1"/>
  <c r="Y25" i="22"/>
  <c r="Y26" i="22" s="1"/>
  <c r="X25" i="22"/>
  <c r="X26" i="22" s="1"/>
  <c r="W25" i="22"/>
  <c r="W26" i="22" s="1"/>
  <c r="V25" i="22"/>
  <c r="U25" i="22"/>
  <c r="T25" i="22"/>
  <c r="T26" i="22" s="1"/>
  <c r="R25" i="22"/>
  <c r="R26" i="22" s="1"/>
  <c r="Q25" i="22"/>
  <c r="Q26" i="22" s="1"/>
  <c r="P25" i="22"/>
  <c r="P26" i="22" s="1"/>
  <c r="O25" i="22"/>
  <c r="O26" i="22" s="1"/>
  <c r="N25" i="22"/>
  <c r="M25" i="22"/>
  <c r="L25" i="22"/>
  <c r="K25" i="22"/>
  <c r="K26" i="22" s="1"/>
  <c r="J25" i="22"/>
  <c r="J26" i="22" s="1"/>
  <c r="I25" i="22"/>
  <c r="I26" i="22" s="1"/>
  <c r="H25" i="22"/>
  <c r="H26" i="22" s="1"/>
  <c r="G25" i="22"/>
  <c r="G26" i="22" s="1"/>
  <c r="F25" i="22"/>
  <c r="E25" i="22"/>
  <c r="AK24" i="22"/>
  <c r="AJ24" i="22"/>
  <c r="AI24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AK22" i="22"/>
  <c r="AJ22" i="22"/>
  <c r="AI22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H22" i="22"/>
  <c r="G22" i="22"/>
  <c r="F22" i="22"/>
  <c r="E22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J14" i="22"/>
  <c r="F13" i="22" l="1"/>
  <c r="G13" i="22"/>
  <c r="H13" i="22"/>
  <c r="E13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E11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E10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E9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E5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E4" i="22"/>
  <c r="E24" i="16" l="1"/>
  <c r="J3" i="20"/>
  <c r="J4" i="20"/>
  <c r="J5" i="20"/>
  <c r="J6" i="20"/>
  <c r="J2" i="20"/>
  <c r="AC52" i="21" l="1"/>
  <c r="AC30" i="21"/>
  <c r="AC42" i="21" s="1"/>
  <c r="AC27" i="21"/>
  <c r="AC21" i="21"/>
  <c r="AC23" i="21" s="1"/>
  <c r="AC29" i="21" s="1"/>
  <c r="X12" i="22" s="1"/>
  <c r="AC18" i="21"/>
  <c r="AC12" i="21"/>
  <c r="X7" i="22" s="1"/>
  <c r="AB52" i="21"/>
  <c r="AA52" i="21"/>
  <c r="AB30" i="21"/>
  <c r="AB42" i="21" s="1"/>
  <c r="AA30" i="21"/>
  <c r="AA42" i="21" s="1"/>
  <c r="AB27" i="21"/>
  <c r="AA27" i="21"/>
  <c r="AB23" i="21"/>
  <c r="AA23" i="21"/>
  <c r="AB21" i="21"/>
  <c r="AA21" i="21"/>
  <c r="AB18" i="21"/>
  <c r="AA18" i="21"/>
  <c r="AB12" i="21"/>
  <c r="W7" i="22" s="1"/>
  <c r="AA12" i="21"/>
  <c r="V7" i="22" s="1"/>
  <c r="Z52" i="21"/>
  <c r="Y52" i="21"/>
  <c r="Z30" i="21"/>
  <c r="Z42" i="21" s="1"/>
  <c r="Y30" i="21"/>
  <c r="Z27" i="21"/>
  <c r="Y27" i="21"/>
  <c r="Z21" i="21"/>
  <c r="Z23" i="21" s="1"/>
  <c r="Y21" i="21"/>
  <c r="Y23" i="21" s="1"/>
  <c r="Z18" i="21"/>
  <c r="Y18" i="21"/>
  <c r="Z12" i="21"/>
  <c r="U7" i="22" s="1"/>
  <c r="Y12" i="21"/>
  <c r="T7" i="22" s="1"/>
  <c r="X52" i="21"/>
  <c r="W52" i="21"/>
  <c r="V52" i="21"/>
  <c r="X42" i="21"/>
  <c r="Y42" i="21"/>
  <c r="T8" i="22" s="1"/>
  <c r="X32" i="21"/>
  <c r="W32" i="21"/>
  <c r="W42" i="21" s="1"/>
  <c r="V32" i="21"/>
  <c r="V42" i="21" s="1"/>
  <c r="X27" i="21"/>
  <c r="W27" i="21"/>
  <c r="V27" i="21"/>
  <c r="X21" i="21"/>
  <c r="X23" i="21" s="1"/>
  <c r="W23" i="21"/>
  <c r="W21" i="21"/>
  <c r="V21" i="21"/>
  <c r="V23" i="21" s="1"/>
  <c r="V18" i="21"/>
  <c r="X12" i="21"/>
  <c r="S7" i="22" s="1"/>
  <c r="W12" i="21"/>
  <c r="R7" i="22" s="1"/>
  <c r="V12" i="21"/>
  <c r="Q7" i="22" s="1"/>
  <c r="S47" i="21"/>
  <c r="T47" i="21"/>
  <c r="U52" i="21"/>
  <c r="T52" i="21"/>
  <c r="S52" i="21"/>
  <c r="R52" i="21"/>
  <c r="R46" i="21"/>
  <c r="R47" i="21" s="1"/>
  <c r="R42" i="21"/>
  <c r="M8" i="22" s="1"/>
  <c r="U42" i="21"/>
  <c r="T42" i="21"/>
  <c r="O8" i="22" s="1"/>
  <c r="S42" i="21"/>
  <c r="N8" i="22" s="1"/>
  <c r="U27" i="21"/>
  <c r="T27" i="21"/>
  <c r="S27" i="21"/>
  <c r="R27" i="21"/>
  <c r="U21" i="21"/>
  <c r="U23" i="21" s="1"/>
  <c r="T21" i="21"/>
  <c r="T23" i="21" s="1"/>
  <c r="S21" i="21"/>
  <c r="S23" i="21" s="1"/>
  <c r="R21" i="21"/>
  <c r="R23" i="21" s="1"/>
  <c r="U18" i="21"/>
  <c r="T18" i="21"/>
  <c r="S18" i="21"/>
  <c r="R18" i="21"/>
  <c r="U12" i="21"/>
  <c r="P7" i="22" s="1"/>
  <c r="T12" i="21"/>
  <c r="O7" i="22" s="1"/>
  <c r="S12" i="21"/>
  <c r="N7" i="22" s="1"/>
  <c r="R12" i="21"/>
  <c r="M7" i="22" s="1"/>
  <c r="Q52" i="21"/>
  <c r="P52" i="21"/>
  <c r="N52" i="21"/>
  <c r="O50" i="21"/>
  <c r="O52" i="21" s="1"/>
  <c r="Q47" i="21"/>
  <c r="P47" i="21"/>
  <c r="O47" i="21"/>
  <c r="N47" i="21"/>
  <c r="N42" i="21"/>
  <c r="I8" i="22" s="1"/>
  <c r="O42" i="21"/>
  <c r="J8" i="22" s="1"/>
  <c r="P42" i="21"/>
  <c r="K8" i="22" s="1"/>
  <c r="Q42" i="21"/>
  <c r="L8" i="22" s="1"/>
  <c r="Q27" i="21"/>
  <c r="P27" i="21"/>
  <c r="O27" i="21"/>
  <c r="N27" i="21"/>
  <c r="Q21" i="21"/>
  <c r="Q23" i="21" s="1"/>
  <c r="P21" i="21"/>
  <c r="P23" i="21" s="1"/>
  <c r="O21" i="21"/>
  <c r="O23" i="21" s="1"/>
  <c r="N21" i="21"/>
  <c r="N23" i="21" s="1"/>
  <c r="Q18" i="21"/>
  <c r="P18" i="21"/>
  <c r="O18" i="21"/>
  <c r="N18" i="21"/>
  <c r="Q12" i="21"/>
  <c r="L7" i="22" s="1"/>
  <c r="P12" i="21"/>
  <c r="K7" i="22" s="1"/>
  <c r="O12" i="21"/>
  <c r="J7" i="22" s="1"/>
  <c r="N12" i="21"/>
  <c r="I7" i="22" s="1"/>
  <c r="M52" i="21"/>
  <c r="L52" i="21"/>
  <c r="M42" i="21"/>
  <c r="L42" i="21"/>
  <c r="M12" i="21"/>
  <c r="L12" i="21"/>
  <c r="I50" i="21"/>
  <c r="I52" i="21" s="1"/>
  <c r="K52" i="21"/>
  <c r="J52" i="21"/>
  <c r="H52" i="21"/>
  <c r="K42" i="21"/>
  <c r="F8" i="22" s="1"/>
  <c r="J42" i="21"/>
  <c r="E8" i="22" s="1"/>
  <c r="I42" i="21"/>
  <c r="H42" i="21"/>
  <c r="K12" i="21"/>
  <c r="J12" i="21"/>
  <c r="I12" i="21"/>
  <c r="I29" i="21" s="1"/>
  <c r="H12" i="21"/>
  <c r="H29" i="21" s="1"/>
  <c r="Y48" i="21" l="1"/>
  <c r="T13" i="22" s="1"/>
  <c r="U48" i="21"/>
  <c r="P8" i="22"/>
  <c r="X48" i="21"/>
  <c r="S13" i="22" s="1"/>
  <c r="S8" i="22"/>
  <c r="Y54" i="21"/>
  <c r="K29" i="21"/>
  <c r="F12" i="22" s="1"/>
  <c r="F7" i="22"/>
  <c r="X54" i="21"/>
  <c r="M29" i="21"/>
  <c r="H12" i="22" s="1"/>
  <c r="H7" i="22"/>
  <c r="V48" i="21"/>
  <c r="Q13" i="22" s="1"/>
  <c r="Q8" i="22"/>
  <c r="AA48" i="21"/>
  <c r="V13" i="22" s="1"/>
  <c r="V8" i="22"/>
  <c r="L29" i="21"/>
  <c r="G12" i="22" s="1"/>
  <c r="G7" i="22"/>
  <c r="L54" i="21"/>
  <c r="G8" i="22"/>
  <c r="W48" i="21"/>
  <c r="R13" i="22" s="1"/>
  <c r="R8" i="22"/>
  <c r="AB48" i="21"/>
  <c r="W13" i="22" s="1"/>
  <c r="W8" i="22"/>
  <c r="AC48" i="21"/>
  <c r="X13" i="22" s="1"/>
  <c r="X8" i="22"/>
  <c r="M54" i="21"/>
  <c r="H8" i="22"/>
  <c r="Z48" i="21"/>
  <c r="U13" i="22" s="1"/>
  <c r="U8" i="22"/>
  <c r="J29" i="21"/>
  <c r="E12" i="22" s="1"/>
  <c r="E7" i="22"/>
  <c r="AA29" i="21"/>
  <c r="V12" i="22" s="1"/>
  <c r="Y29" i="21"/>
  <c r="T12" i="22" s="1"/>
  <c r="AB29" i="21"/>
  <c r="W12" i="22" s="1"/>
  <c r="V29" i="21"/>
  <c r="Q12" i="22" s="1"/>
  <c r="I54" i="21"/>
  <c r="R48" i="21"/>
  <c r="Z29" i="21"/>
  <c r="U12" i="22" s="1"/>
  <c r="W54" i="21"/>
  <c r="W29" i="21"/>
  <c r="R12" i="22" s="1"/>
  <c r="S48" i="21"/>
  <c r="P48" i="21"/>
  <c r="T48" i="21"/>
  <c r="V54" i="21"/>
  <c r="X29" i="21"/>
  <c r="S12" i="22" s="1"/>
  <c r="Q48" i="21"/>
  <c r="N29" i="21"/>
  <c r="I12" i="22" s="1"/>
  <c r="O29" i="21"/>
  <c r="J12" i="22" s="1"/>
  <c r="P29" i="21"/>
  <c r="K12" i="22" s="1"/>
  <c r="N48" i="21"/>
  <c r="O48" i="21"/>
  <c r="U29" i="21"/>
  <c r="P12" i="22" s="1"/>
  <c r="S29" i="21"/>
  <c r="N12" i="22" s="1"/>
  <c r="R29" i="21"/>
  <c r="M12" i="22" s="1"/>
  <c r="T29" i="21"/>
  <c r="O12" i="22" s="1"/>
  <c r="H54" i="21"/>
  <c r="J54" i="21"/>
  <c r="K54" i="21"/>
  <c r="Q29" i="21"/>
  <c r="L12" i="22" s="1"/>
  <c r="J6" i="7"/>
  <c r="N54" i="21" l="1"/>
  <c r="I13" i="22"/>
  <c r="P54" i="21"/>
  <c r="K13" i="22"/>
  <c r="AA54" i="21"/>
  <c r="S54" i="21"/>
  <c r="N13" i="22"/>
  <c r="Z54" i="21"/>
  <c r="U54" i="21"/>
  <c r="P13" i="22"/>
  <c r="O54" i="21"/>
  <c r="J13" i="22"/>
  <c r="Q54" i="21"/>
  <c r="L13" i="22"/>
  <c r="R54" i="21"/>
  <c r="M13" i="22"/>
  <c r="AC54" i="21"/>
  <c r="AB54" i="21"/>
  <c r="T54" i="21"/>
  <c r="O13" i="22"/>
  <c r="AC34" i="16"/>
  <c r="AC35" i="16"/>
  <c r="AC23" i="16"/>
  <c r="AC24" i="16" s="1"/>
  <c r="X3" i="22" s="1"/>
  <c r="AB34" i="16"/>
  <c r="AB23" i="16"/>
  <c r="AB24" i="16" s="1"/>
  <c r="W3" i="22" s="1"/>
  <c r="I116" i="14"/>
  <c r="H116" i="14"/>
  <c r="J365" i="17"/>
  <c r="J354" i="17"/>
  <c r="J343" i="17"/>
  <c r="Y34" i="16"/>
  <c r="AA35" i="16"/>
  <c r="Z35" i="16"/>
  <c r="Y35" i="16"/>
  <c r="AA34" i="16"/>
  <c r="Z34" i="16"/>
  <c r="AA23" i="16"/>
  <c r="AA24" i="16" s="1"/>
  <c r="V3" i="22" s="1"/>
  <c r="Y23" i="16"/>
  <c r="Y24" i="16" s="1"/>
  <c r="T3" i="22" s="1"/>
  <c r="Z23" i="16"/>
  <c r="Z24" i="16" s="1"/>
  <c r="U3" i="22" s="1"/>
  <c r="I104" i="14"/>
  <c r="H104" i="14"/>
  <c r="J324" i="17"/>
  <c r="J313" i="17"/>
  <c r="J302" i="17"/>
  <c r="J5" i="3"/>
  <c r="J4" i="3"/>
  <c r="I4" i="3"/>
  <c r="J3" i="3"/>
  <c r="J2" i="3"/>
  <c r="X34" i="16"/>
  <c r="X35" i="16" s="1"/>
  <c r="X23" i="16"/>
  <c r="J283" i="17"/>
  <c r="J272" i="17"/>
  <c r="J261" i="17"/>
  <c r="L47" i="12"/>
  <c r="I59" i="12"/>
  <c r="I55" i="12"/>
  <c r="I54" i="12"/>
  <c r="I53" i="12"/>
  <c r="J101" i="2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I93" i="14"/>
  <c r="H93" i="14"/>
  <c r="J242" i="17"/>
  <c r="J231" i="17"/>
  <c r="J220" i="17"/>
  <c r="H82" i="14"/>
  <c r="H71" i="14"/>
  <c r="I82" i="14"/>
  <c r="J201" i="17"/>
  <c r="J190" i="17"/>
  <c r="J179" i="17"/>
  <c r="W34" i="16"/>
  <c r="W35" i="16" s="1"/>
  <c r="V34" i="16"/>
  <c r="V35" i="16" s="1"/>
  <c r="W23" i="16"/>
  <c r="V23" i="16"/>
  <c r="I71" i="14"/>
  <c r="J160" i="17"/>
  <c r="J149" i="17"/>
  <c r="J138" i="17"/>
  <c r="K100" i="2"/>
  <c r="K99" i="2"/>
  <c r="K98" i="2"/>
  <c r="K97" i="2"/>
  <c r="K96" i="2"/>
  <c r="K95" i="2"/>
  <c r="K94" i="2"/>
  <c r="K93" i="2"/>
  <c r="K92" i="2"/>
  <c r="K91" i="2"/>
  <c r="K89" i="2"/>
  <c r="K88" i="2"/>
  <c r="K90" i="2"/>
  <c r="K87" i="2"/>
  <c r="K86" i="2"/>
  <c r="K85" i="2"/>
  <c r="K84" i="2"/>
  <c r="K83" i="2"/>
  <c r="K82" i="2"/>
  <c r="K81" i="2"/>
  <c r="K80" i="2"/>
  <c r="K79" i="2"/>
  <c r="K78" i="2"/>
  <c r="K77" i="2"/>
  <c r="H56" i="14" l="1"/>
  <c r="K56" i="14" s="1"/>
  <c r="U38" i="16"/>
  <c r="T38" i="16"/>
  <c r="T40" i="16" s="1"/>
  <c r="S36" i="16"/>
  <c r="U34" i="16"/>
  <c r="U35" i="16" s="1"/>
  <c r="T34" i="16"/>
  <c r="T35" i="16" s="1"/>
  <c r="S34" i="16"/>
  <c r="S35" i="16" s="1"/>
  <c r="R35" i="16"/>
  <c r="R34" i="16"/>
  <c r="U23" i="16"/>
  <c r="U24" i="16" s="1"/>
  <c r="T23" i="16"/>
  <c r="T24" i="16" s="1"/>
  <c r="S23" i="16"/>
  <c r="S24" i="16" s="1"/>
  <c r="R23" i="16"/>
  <c r="R24" i="16" s="1"/>
  <c r="Q23" i="16"/>
  <c r="Q24" i="16" s="1"/>
  <c r="K47" i="14"/>
  <c r="K48" i="14"/>
  <c r="K49" i="14"/>
  <c r="K50" i="14"/>
  <c r="K51" i="14"/>
  <c r="K52" i="14"/>
  <c r="K53" i="14"/>
  <c r="K54" i="14"/>
  <c r="K55" i="14"/>
  <c r="I56" i="14"/>
  <c r="J119" i="17"/>
  <c r="J108" i="17"/>
  <c r="J97" i="17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P35" i="16"/>
  <c r="Q34" i="16"/>
  <c r="Q35" i="16" s="1"/>
  <c r="P34" i="16"/>
  <c r="O34" i="16"/>
  <c r="O35" i="16" s="1"/>
  <c r="N34" i="16"/>
  <c r="N35" i="16" s="1"/>
  <c r="P23" i="16"/>
  <c r="P24" i="16" s="1"/>
  <c r="K3" i="22" s="1"/>
  <c r="V24" i="16"/>
  <c r="W24" i="16"/>
  <c r="X24" i="16"/>
  <c r="O24" i="16"/>
  <c r="J3" i="22" s="1"/>
  <c r="O23" i="16"/>
  <c r="N23" i="16"/>
  <c r="N24" i="16" s="1"/>
  <c r="I3" i="22" s="1"/>
  <c r="I45" i="14"/>
  <c r="J85" i="17"/>
  <c r="J76" i="17"/>
  <c r="J56" i="2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55" i="2"/>
  <c r="K25" i="14"/>
  <c r="K26" i="14"/>
  <c r="K27" i="14"/>
  <c r="K28" i="14"/>
  <c r="K29" i="14"/>
  <c r="K30" i="14"/>
  <c r="K31" i="14"/>
  <c r="K32" i="14"/>
  <c r="K33" i="14"/>
  <c r="K24" i="14"/>
  <c r="I31" i="12"/>
  <c r="M34" i="16"/>
  <c r="K34" i="16"/>
  <c r="J34" i="16"/>
  <c r="M23" i="16"/>
  <c r="M24" i="16" s="1"/>
  <c r="H3" i="22" s="1"/>
  <c r="L23" i="16"/>
  <c r="L24" i="16" s="1"/>
  <c r="G3" i="22" s="1"/>
  <c r="K23" i="16"/>
  <c r="K24" i="16" s="1"/>
  <c r="F3" i="22" s="1"/>
  <c r="J23" i="16"/>
  <c r="J24" i="16" s="1"/>
  <c r="E3" i="22" s="1"/>
  <c r="H23" i="14"/>
  <c r="K23" i="14" s="1"/>
  <c r="H34" i="14"/>
  <c r="K34" i="14" s="1"/>
  <c r="J50" i="17"/>
  <c r="J37" i="2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K15" i="14"/>
  <c r="K16" i="14"/>
  <c r="K17" i="14"/>
  <c r="K18" i="14"/>
  <c r="K19" i="14"/>
  <c r="K20" i="14"/>
  <c r="K21" i="14"/>
  <c r="K22" i="14"/>
  <c r="K14" i="14"/>
  <c r="K13" i="14"/>
  <c r="X43" i="16" l="1"/>
  <c r="X44" i="16" s="1"/>
  <c r="X46" i="16" s="1"/>
  <c r="S3" i="22"/>
  <c r="Q43" i="16"/>
  <c r="Q44" i="16" s="1"/>
  <c r="Q46" i="16" s="1"/>
  <c r="L3" i="22"/>
  <c r="S43" i="16"/>
  <c r="S44" i="16" s="1"/>
  <c r="S46" i="16" s="1"/>
  <c r="N3" i="22"/>
  <c r="T43" i="16"/>
  <c r="T44" i="16" s="1"/>
  <c r="T46" i="16" s="1"/>
  <c r="O3" i="22"/>
  <c r="U43" i="16"/>
  <c r="U44" i="16" s="1"/>
  <c r="U46" i="16" s="1"/>
  <c r="P3" i="22"/>
  <c r="W43" i="16"/>
  <c r="W44" i="16" s="1"/>
  <c r="W46" i="16" s="1"/>
  <c r="R3" i="22"/>
  <c r="R43" i="16"/>
  <c r="R44" i="16" s="1"/>
  <c r="R46" i="16" s="1"/>
  <c r="M3" i="22"/>
  <c r="V43" i="16"/>
  <c r="V44" i="16" s="1"/>
  <c r="V46" i="16" s="1"/>
  <c r="Q3" i="22"/>
  <c r="K46" i="14"/>
  <c r="J96" i="2"/>
  <c r="J97" i="2" s="1"/>
  <c r="J98" i="2" s="1"/>
  <c r="J99" i="2" s="1"/>
  <c r="J100" i="2" s="1"/>
  <c r="E29" i="16"/>
  <c r="E35" i="16"/>
  <c r="F23" i="16"/>
  <c r="F24" i="16" s="1"/>
  <c r="E9" i="16"/>
  <c r="K3" i="14"/>
  <c r="K4" i="14"/>
  <c r="K5" i="14"/>
  <c r="K6" i="14"/>
  <c r="K7" i="14"/>
  <c r="K8" i="14"/>
  <c r="K9" i="14"/>
  <c r="K10" i="14"/>
  <c r="K11" i="14"/>
  <c r="K2" i="14"/>
  <c r="I21" i="12"/>
  <c r="I11" i="12"/>
  <c r="H12" i="14"/>
  <c r="K12" i="14" s="1"/>
  <c r="J24" i="17"/>
  <c r="N2" i="17"/>
  <c r="J2" i="17"/>
  <c r="E25" i="16" l="1"/>
  <c r="E37" i="16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9" i="16"/>
  <c r="E2" i="22" s="1"/>
  <c r="J17" i="2" l="1"/>
  <c r="J18" i="2" s="1"/>
  <c r="J19" i="2" s="1"/>
  <c r="J20" i="2" s="1"/>
  <c r="W9" i="16"/>
  <c r="U9" i="16"/>
  <c r="P2" i="22" s="1"/>
  <c r="V9" i="16"/>
  <c r="Q2" i="22" s="1"/>
  <c r="X9" i="16"/>
  <c r="S2" i="22" s="1"/>
  <c r="Y9" i="16"/>
  <c r="T2" i="22" s="1"/>
  <c r="Z9" i="16"/>
  <c r="U2" i="22" s="1"/>
  <c r="AA9" i="16"/>
  <c r="V2" i="22" s="1"/>
  <c r="AB9" i="16"/>
  <c r="W2" i="22" s="1"/>
  <c r="AC9" i="16"/>
  <c r="X2" i="22" s="1"/>
  <c r="R9" i="16"/>
  <c r="M2" i="22" s="1"/>
  <c r="S9" i="16"/>
  <c r="N2" i="22" s="1"/>
  <c r="T9" i="16"/>
  <c r="O2" i="22" s="1"/>
  <c r="Q9" i="16"/>
  <c r="L2" i="22" s="1"/>
  <c r="G35" i="16"/>
  <c r="J35" i="16"/>
  <c r="K35" i="16"/>
  <c r="L35" i="16"/>
  <c r="M35" i="16"/>
  <c r="F35" i="16"/>
  <c r="P9" i="16"/>
  <c r="K2" i="22" s="1"/>
  <c r="O9" i="16"/>
  <c r="J2" i="22" s="1"/>
  <c r="N9" i="16"/>
  <c r="I2" i="22" s="1"/>
  <c r="M9" i="16"/>
  <c r="H2" i="22" s="1"/>
  <c r="L9" i="16"/>
  <c r="G2" i="22" s="1"/>
  <c r="K9" i="16"/>
  <c r="F2" i="22" s="1"/>
  <c r="G29" i="16"/>
  <c r="F29" i="16"/>
  <c r="G9" i="16"/>
  <c r="L71" i="14" l="1"/>
  <c r="R2" i="22"/>
  <c r="L75" i="14"/>
  <c r="L72" i="14"/>
  <c r="L76" i="14"/>
  <c r="L82" i="14"/>
  <c r="L77" i="14"/>
  <c r="L78" i="14"/>
  <c r="L79" i="14"/>
  <c r="L80" i="14"/>
  <c r="L73" i="14"/>
  <c r="L81" i="14"/>
  <c r="L74" i="14"/>
  <c r="L109" i="14"/>
  <c r="L116" i="14"/>
  <c r="L105" i="14"/>
  <c r="L110" i="14"/>
  <c r="L106" i="14"/>
  <c r="L115" i="14"/>
  <c r="L111" i="14"/>
  <c r="L112" i="14"/>
  <c r="L113" i="14"/>
  <c r="L114" i="14"/>
  <c r="L107" i="14"/>
  <c r="L108" i="14"/>
  <c r="L93" i="14"/>
  <c r="L91" i="14"/>
  <c r="L84" i="14"/>
  <c r="L92" i="14"/>
  <c r="L85" i="14"/>
  <c r="L83" i="14"/>
  <c r="L87" i="14"/>
  <c r="L88" i="14"/>
  <c r="L89" i="14"/>
  <c r="L90" i="14"/>
  <c r="L86" i="14"/>
  <c r="L96" i="14"/>
  <c r="L94" i="14"/>
  <c r="L97" i="14"/>
  <c r="L98" i="14"/>
  <c r="L102" i="14"/>
  <c r="L103" i="14"/>
  <c r="L99" i="14"/>
  <c r="L101" i="14"/>
  <c r="L95" i="14"/>
  <c r="L100" i="14"/>
  <c r="L104" i="14"/>
  <c r="L50" i="14"/>
  <c r="L46" i="14"/>
  <c r="L51" i="14"/>
  <c r="L52" i="14"/>
  <c r="L53" i="14"/>
  <c r="L48" i="14"/>
  <c r="L54" i="14"/>
  <c r="L47" i="14"/>
  <c r="L55" i="14"/>
  <c r="L49" i="14"/>
  <c r="L56" i="14"/>
  <c r="L58" i="14"/>
  <c r="L66" i="14"/>
  <c r="L59" i="14"/>
  <c r="L67" i="14"/>
  <c r="L60" i="14"/>
  <c r="L68" i="14"/>
  <c r="L61" i="14"/>
  <c r="L69" i="14"/>
  <c r="L62" i="14"/>
  <c r="L70" i="14"/>
  <c r="L63" i="14"/>
  <c r="L57" i="14"/>
  <c r="L64" i="14"/>
  <c r="L65" i="14"/>
  <c r="L42" i="14"/>
  <c r="L36" i="14"/>
  <c r="L37" i="14"/>
  <c r="L35" i="14"/>
  <c r="L43" i="14"/>
  <c r="L44" i="14"/>
  <c r="L45" i="14"/>
  <c r="L39" i="14"/>
  <c r="L41" i="14"/>
  <c r="L38" i="14"/>
  <c r="L40" i="14"/>
  <c r="AC25" i="16"/>
  <c r="AC37" i="16" s="1"/>
  <c r="AC39" i="16" s="1"/>
  <c r="AC40" i="16" s="1"/>
  <c r="O25" i="16"/>
  <c r="O37" i="16" s="1"/>
  <c r="AA25" i="16"/>
  <c r="AA37" i="16" s="1"/>
  <c r="U25" i="16" l="1"/>
  <c r="U37" i="16" s="1"/>
  <c r="U39" i="16" s="1"/>
  <c r="U40" i="16" s="1"/>
  <c r="M25" i="16"/>
  <c r="M37" i="16" s="1"/>
  <c r="M39" i="16" s="1"/>
  <c r="M40" i="16" s="1"/>
  <c r="V25" i="16"/>
  <c r="V37" i="16" s="1"/>
  <c r="V39" i="16" s="1"/>
  <c r="T25" i="16"/>
  <c r="T37" i="16" s="1"/>
  <c r="L25" i="16"/>
  <c r="L37" i="16" s="1"/>
  <c r="L39" i="16" s="1"/>
  <c r="L40" i="16" s="1"/>
  <c r="X25" i="16"/>
  <c r="X37" i="16" s="1"/>
  <c r="P25" i="16"/>
  <c r="P37" i="16" s="1"/>
  <c r="S25" i="16"/>
  <c r="S37" i="16" s="1"/>
  <c r="K25" i="16"/>
  <c r="K37" i="16" s="1"/>
  <c r="K39" i="16" s="1"/>
  <c r="K40" i="16" s="1"/>
  <c r="N25" i="16"/>
  <c r="N37" i="16" s="1"/>
  <c r="N39" i="16" s="1"/>
  <c r="F25" i="16"/>
  <c r="F37" i="16" s="1"/>
  <c r="Z25" i="16"/>
  <c r="Z37" i="16" s="1"/>
  <c r="R25" i="16"/>
  <c r="R37" i="16" s="1"/>
  <c r="J25" i="16"/>
  <c r="J37" i="16" s="1"/>
  <c r="J39" i="16" s="1"/>
  <c r="J40" i="16" s="1"/>
  <c r="W25" i="16"/>
  <c r="W37" i="16" s="1"/>
  <c r="G25" i="16"/>
  <c r="G37" i="16" s="1"/>
  <c r="Y25" i="16"/>
  <c r="Y37" i="16" s="1"/>
  <c r="Q25" i="16"/>
  <c r="Q37" i="16" s="1"/>
  <c r="AB25" i="16"/>
  <c r="AB37" i="16" s="1"/>
  <c r="O38" i="16" l="1"/>
  <c r="O39" i="16" s="1"/>
  <c r="N40" i="16"/>
  <c r="W38" i="16"/>
  <c r="W39" i="16" s="1"/>
  <c r="X38" i="16" s="1"/>
  <c r="X39" i="16" s="1"/>
  <c r="V40" i="16"/>
  <c r="W40" i="16" l="1"/>
  <c r="P38" i="16"/>
  <c r="P39" i="16" s="1"/>
  <c r="O40" i="16"/>
  <c r="X40" i="16" l="1"/>
  <c r="Y38" i="16"/>
  <c r="Y39" i="16" s="1"/>
  <c r="Q38" i="16"/>
  <c r="Q39" i="16" s="1"/>
  <c r="P40" i="16"/>
  <c r="Y40" i="16" l="1"/>
  <c r="Z38" i="16"/>
  <c r="Z39" i="16" s="1"/>
  <c r="R38" i="16"/>
  <c r="R39" i="16" s="1"/>
  <c r="Q40" i="16"/>
  <c r="Z40" i="16" l="1"/>
  <c r="AA38" i="16"/>
  <c r="AA39" i="16" s="1"/>
  <c r="R40" i="16"/>
  <c r="S38" i="16"/>
  <c r="S40" i="16" s="1"/>
  <c r="AA40" i="16" l="1"/>
  <c r="AB38" i="16"/>
  <c r="AB40" i="16" s="1"/>
</calcChain>
</file>

<file path=xl/sharedStrings.xml><?xml version="1.0" encoding="utf-8"?>
<sst xmlns="http://schemas.openxmlformats.org/spreadsheetml/2006/main" count="8583" uniqueCount="547">
  <si>
    <t>PWSID</t>
  </si>
  <si>
    <t>OSYear</t>
  </si>
  <si>
    <t>amount</t>
  </si>
  <si>
    <t>startYear</t>
  </si>
  <si>
    <t>endYear</t>
  </si>
  <si>
    <t>aveRate</t>
  </si>
  <si>
    <t>currentRemaining</t>
  </si>
  <si>
    <t>payments</t>
  </si>
  <si>
    <t>Municipality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</si>
  <si>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</si>
  <si>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</si>
  <si>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</si>
  <si>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</si>
  <si>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</si>
  <si>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</si>
  <si>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</si>
  <si>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</si>
  <si>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</si>
  <si>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</si>
  <si>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</si>
  <si>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</si>
  <si>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</si>
  <si>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</si>
  <si>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</si>
  <si>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</si>
  <si>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</si>
  <si>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</si>
  <si>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</si>
  <si>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</si>
  <si>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</si>
  <si>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</si>
  <si>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Customer</t>
  </si>
  <si>
    <t>percentMethod</t>
  </si>
  <si>
    <t>amountBilled</t>
  </si>
  <si>
    <t>These statements don't include depreciation but match earlier ones.</t>
  </si>
  <si>
    <t>Supplement with Financial statements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</si>
  <si>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</si>
  <si>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</si>
  <si>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</si>
  <si>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</si>
  <si>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</si>
  <si>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</si>
  <si>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</si>
  <si>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</si>
  <si>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</si>
  <si>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</si>
  <si>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</si>
  <si>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</si>
  <si>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</si>
  <si>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</si>
  <si>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</si>
  <si>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</si>
  <si>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</si>
  <si>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</si>
  <si>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</si>
  <si>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</si>
  <si>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</si>
  <si>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</si>
  <si>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</si>
  <si>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</si>
  <si>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</si>
  <si>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Residential</t>
  </si>
  <si>
    <t>Commercial</t>
  </si>
  <si>
    <t>Industrial</t>
  </si>
  <si>
    <t>Other</t>
  </si>
  <si>
    <t>Total Operating Revenues</t>
  </si>
  <si>
    <t>Expenses</t>
  </si>
  <si>
    <t>Total Operating Expenses</t>
  </si>
  <si>
    <t>Other Income and (Expense)</t>
  </si>
  <si>
    <t>Revenue - Expense</t>
  </si>
  <si>
    <t>Interest Earned on Investments</t>
  </si>
  <si>
    <t>Total Other Income and Expenses</t>
  </si>
  <si>
    <t>Net Income</t>
  </si>
  <si>
    <t>Retained Earnings</t>
  </si>
  <si>
    <t>Retained Earnings - Start of Year</t>
  </si>
  <si>
    <t>Retained Earnings - End of Year</t>
  </si>
  <si>
    <t>Change in Net Assets</t>
  </si>
  <si>
    <t>rateYear</t>
  </si>
  <si>
    <t>yearSet</t>
  </si>
  <si>
    <t>chargeType</t>
  </si>
  <si>
    <t>class</t>
  </si>
  <si>
    <t>classUnit</t>
  </si>
  <si>
    <t>cost</t>
  </si>
  <si>
    <t>costUnit</t>
  </si>
  <si>
    <t>AAA</t>
  </si>
  <si>
    <t>NA</t>
  </si>
  <si>
    <t>A</t>
  </si>
  <si>
    <t>Annual</t>
  </si>
  <si>
    <t>Maturity Schedule</t>
  </si>
  <si>
    <t>Chairman</t>
  </si>
  <si>
    <t>Vice Chairman</t>
  </si>
  <si>
    <t>Treasurer</t>
  </si>
  <si>
    <t>Secretary</t>
  </si>
  <si>
    <t>Municipal Bond Insurance Premium</t>
  </si>
  <si>
    <t>Debt Service Reserve Fund</t>
  </si>
  <si>
    <t>authority</t>
  </si>
  <si>
    <t>areaMi2</t>
  </si>
  <si>
    <t>Borough</t>
  </si>
  <si>
    <t>Township</t>
  </si>
  <si>
    <t>Reservoir</t>
  </si>
  <si>
    <t>Capacity</t>
  </si>
  <si>
    <t>Treated Water</t>
  </si>
  <si>
    <t>Total</t>
  </si>
  <si>
    <t>Water</t>
  </si>
  <si>
    <t>Manufacturing</t>
  </si>
  <si>
    <t>Housing Authority</t>
  </si>
  <si>
    <t>Public</t>
  </si>
  <si>
    <t>Metered Consumption</t>
  </si>
  <si>
    <t>Unaccounted</t>
  </si>
  <si>
    <t>Flat Charge</t>
  </si>
  <si>
    <t>Meter Size</t>
  </si>
  <si>
    <t>Consumption Charge</t>
  </si>
  <si>
    <t>gallons</t>
  </si>
  <si>
    <t>Monthly</t>
  </si>
  <si>
    <t>Interest Expense</t>
  </si>
  <si>
    <t>Depreciation</t>
  </si>
  <si>
    <t>Assets acquired with borrowed funds</t>
  </si>
  <si>
    <t>Assets acquired with grant funds</t>
  </si>
  <si>
    <t>Total Depreciation</t>
  </si>
  <si>
    <t>-</t>
  </si>
  <si>
    <t>Amortization Expense</t>
  </si>
  <si>
    <t>Mandatory Redemption</t>
  </si>
  <si>
    <t>Semi-Annual</t>
  </si>
  <si>
    <t>Capital Grants and Contributions</t>
  </si>
  <si>
    <t>y2018</t>
  </si>
  <si>
    <t>PA3060059</t>
  </si>
  <si>
    <t>Reading Area Water Authority</t>
  </si>
  <si>
    <t>no</t>
  </si>
  <si>
    <t>Financial Security Assurance</t>
  </si>
  <si>
    <t>Dec</t>
  </si>
  <si>
    <t>none</t>
  </si>
  <si>
    <t>Anthony Consentino</t>
  </si>
  <si>
    <t>Edward Leonardziak</t>
  </si>
  <si>
    <t>Christopher Jones</t>
  </si>
  <si>
    <t>Anthony Calvaresi Jr</t>
  </si>
  <si>
    <t>Robert Shinn</t>
  </si>
  <si>
    <t>Lucy Cortez</t>
  </si>
  <si>
    <t>Member</t>
  </si>
  <si>
    <t>Never</t>
  </si>
  <si>
    <t>The Reading Water Company started supplying public water in 1821 through wooden pipes. In 1865, the City of Reading purchased the Reading Water Company</t>
  </si>
  <si>
    <t xml:space="preserve">for $300,000. </t>
  </si>
  <si>
    <t>surface</t>
  </si>
  <si>
    <t>Lake Ontelaunee</t>
  </si>
  <si>
    <t>Borough of Mount Penn</t>
  </si>
  <si>
    <t>Western Berks Water Authority</t>
  </si>
  <si>
    <t>Purchase</t>
  </si>
  <si>
    <t>Emergency</t>
  </si>
  <si>
    <t>Berk</t>
  </si>
  <si>
    <t>Reading</t>
  </si>
  <si>
    <t>City</t>
  </si>
  <si>
    <t>Bern</t>
  </si>
  <si>
    <t>Ontelaunee</t>
  </si>
  <si>
    <t>Muhlenberg</t>
  </si>
  <si>
    <t>Cumru</t>
  </si>
  <si>
    <t>Lower Alsace</t>
  </si>
  <si>
    <t>Kenhorst</t>
  </si>
  <si>
    <t>Robert Ludgate Jr</t>
  </si>
  <si>
    <t>F. Lynn Christy</t>
  </si>
  <si>
    <t>John Ulrich</t>
  </si>
  <si>
    <t>Fire Protection</t>
  </si>
  <si>
    <t>Other Utilities</t>
  </si>
  <si>
    <t>They labeled this as GPD… I think it is MGD</t>
  </si>
  <si>
    <t>flat</t>
  </si>
  <si>
    <t>cost per 100 CF</t>
  </si>
  <si>
    <t>per meter</t>
  </si>
  <si>
    <t>CF</t>
  </si>
  <si>
    <t>100 CF</t>
  </si>
  <si>
    <t>per 100 CF</t>
  </si>
  <si>
    <t>over 500000</t>
  </si>
  <si>
    <t>per hydrant</t>
  </si>
  <si>
    <t>Service Charge</t>
  </si>
  <si>
    <t>inch</t>
  </si>
  <si>
    <t>per 1000 gallons</t>
  </si>
  <si>
    <t>1000 gallons</t>
  </si>
  <si>
    <t>over 3750000</t>
  </si>
  <si>
    <t>Bern Township</t>
  </si>
  <si>
    <t>Carpenter Technology Corporation</t>
  </si>
  <si>
    <t>City of Reading (Sewer)</t>
  </si>
  <si>
    <t>Reading Housing</t>
  </si>
  <si>
    <t>Sealed Air Corporation</t>
  </si>
  <si>
    <t>Packaging</t>
  </si>
  <si>
    <t>United Corrstack</t>
  </si>
  <si>
    <t>Paperboard Mill</t>
  </si>
  <si>
    <t>O.B. Dyers</t>
  </si>
  <si>
    <t>Muhlenberg Township</t>
  </si>
  <si>
    <t>NGK Metals</t>
  </si>
  <si>
    <t>Dana Corp.</t>
  </si>
  <si>
    <t>Unknown</t>
  </si>
  <si>
    <t>Estimated by subtracting unaccounted from total water use</t>
  </si>
  <si>
    <t>Total - including unaccounted water</t>
  </si>
  <si>
    <t>Estimated - based on treated water *365</t>
  </si>
  <si>
    <t>Estimated - based on treated water *375</t>
  </si>
  <si>
    <t>Water Rentals</t>
  </si>
  <si>
    <t>Tapping and Connection Fees</t>
  </si>
  <si>
    <t>Legal Fees</t>
  </si>
  <si>
    <t>Bad Debt Expense</t>
  </si>
  <si>
    <t>Repairs and Maintenance</t>
  </si>
  <si>
    <t>Engineering Fees</t>
  </si>
  <si>
    <t>Insurance</t>
  </si>
  <si>
    <t>Miscellaneous</t>
  </si>
  <si>
    <t>State Aid</t>
  </si>
  <si>
    <t>Capitalized Interest</t>
  </si>
  <si>
    <t>Issuance Costs</t>
  </si>
  <si>
    <t>Abandonment and Hydro Fees</t>
  </si>
  <si>
    <t>Salaries and Payroll Taxes</t>
  </si>
  <si>
    <t>St. Joseph Hospital</t>
  </si>
  <si>
    <t>Hospital</t>
  </si>
  <si>
    <t>Cambridge Lee Industries</t>
  </si>
  <si>
    <t>Muhlenberg Water Authority</t>
  </si>
  <si>
    <t>*There is an order of magnitude difference in volumes of water reported.</t>
  </si>
  <si>
    <t>I adjusted by one zero because later years are order mag greater.</t>
  </si>
  <si>
    <t>*This one's weird - stated value at maturity and present value principal amount were given</t>
  </si>
  <si>
    <t>*The treatment plant's capacity is 40 MGD, but the pumping station is 25 MGD</t>
  </si>
  <si>
    <t>Capline</t>
  </si>
  <si>
    <t>Pipeline</t>
  </si>
  <si>
    <t>Cost of Issuance</t>
  </si>
  <si>
    <t>At the end of the documents they have the debt statements for the city of reading - including per capita debt ratios and fraction that is from the Reading Area Water Authority</t>
  </si>
  <si>
    <t>Project Construction Fund / Capital Projects</t>
  </si>
  <si>
    <t>Gerrill Hill</t>
  </si>
  <si>
    <t>Donna Glaze</t>
  </si>
  <si>
    <t>The capacity of the treatment plant is 40 MGD but the safe daily yield is 35 MGD</t>
  </si>
  <si>
    <t>Estimated from usage data</t>
  </si>
  <si>
    <t>Meter Surcharge</t>
  </si>
  <si>
    <t>Pennsylvania American Water</t>
  </si>
  <si>
    <t>Glidden Company</t>
  </si>
  <si>
    <t>Reading Truck Body</t>
  </si>
  <si>
    <t>Jamestown Village</t>
  </si>
  <si>
    <t>The year was May 2006 to April 2007 so compared to 2006 operating revenues</t>
  </si>
  <si>
    <t>Lease Payments - City of Reading</t>
  </si>
  <si>
    <t>Billing and Data Processing</t>
  </si>
  <si>
    <t>Raymond Schuenemann III</t>
  </si>
  <si>
    <t>Vacant</t>
  </si>
  <si>
    <t>Eron Lloyd</t>
  </si>
  <si>
    <t>Carl McLaughlin</t>
  </si>
  <si>
    <t>Deposit to 2011 Debt Service Fund (Capitalized Interest)</t>
  </si>
  <si>
    <t>None?</t>
  </si>
  <si>
    <t>Holds 3.88 Bgal; safe design yeild of 77 MGD; Filtration Plant constructed in 1935; Major renovations in 1994.</t>
  </si>
  <si>
    <t>The capacity of the treatment plant is 40 MGD but the safe daily yield is 25 MGD</t>
  </si>
  <si>
    <t>Under the Lease, the Authority pays monthly lease installments to reimburse the City for any</t>
  </si>
  <si>
    <t>operating expenses of the Water System incurred by the City, certain remaining City debt service</t>
  </si>
  <si>
    <t>expenses with respect to Water System assets and the City’s indirect costs with respect to the</t>
  </si>
  <si>
    <t>Water System. In addition, the Authority pays to the City a Meter Surcharge Fee and a</t>
  </si>
  <si>
    <t>Financing Fee, which serve as direct unrestricted subsidies from the Authority to the City’s</t>
  </si>
  <si>
    <t>General Fund. The Meter Surcharge Fee paid to the City is $1,700,000 and is passed through to</t>
  </si>
  <si>
    <t>customers as a specific monthly billing line item. The Financing Fee began at $2,000,000 per</t>
  </si>
  <si>
    <t>year in 1994 and escalates annually based on a CPI inflation factor. By 2009, the Financing Fee</t>
  </si>
  <si>
    <t>was approximately $2,900,000. The Financing Fee is funded through Authority water rates and</t>
  </si>
  <si>
    <t>charges. The Lease was amended and supplemented in 2010 and 2011 to provide for a temporary</t>
  </si>
  <si>
    <t>increase in the Financing Fee for the Years 2010, 2011, 2012, 2013 and 2014. The purpose of</t>
  </si>
  <si>
    <t>the increase is to assist the City in financing a financial recovery plan by the injection of</t>
  </si>
  <si>
    <t>temporary additional external City General Fund sources. The Financing Fee for such years has</t>
  </si>
  <si>
    <t>been agreed to be, as follows: 2010 -- $4,270,000; 2011 -- $5,720,000; 2012 -- $5,920,000; 2013</t>
  </si>
  <si>
    <t>-- $6,470,000; and 2014 -- $6,670,000. The Authority has adopted rate increases that will enable</t>
  </si>
  <si>
    <t>it to meet the additional payment obligations to the City. Under the Lease, the Financing Fee for</t>
  </si>
  <si>
    <t>2015 and beyond will revert to the amounts set forth in the original Lease. The Authority</t>
  </si>
  <si>
    <t>anticipates that the Financing Fee for 2015 will be approximately $3,250,000. Thereafter, it will</t>
  </si>
  <si>
    <t>continue to escalate pursuant to the CPI inflation factor discussed above</t>
  </si>
  <si>
    <t>Dean Miller</t>
  </si>
  <si>
    <t>In 2009 and 2010 they entered into an agreement with Miller Environmental Inc for services of a qualified water filter plant manager. Pay a monthly operating fee of $37,000 plus hourly charges above the scope of the agreement. They can increase 5% per year.</t>
  </si>
  <si>
    <t>Management Agreements</t>
  </si>
  <si>
    <t>The Authority has entered into an agreement with Miller Environmental, Inc. for the services</t>
  </si>
  <si>
    <t>of a qualified water filter plant manager, who is responsible for the management of all</t>
  </si>
  <si>
    <t>operational and maintenance activities of the water filter plant. The agreement is automatically</t>
  </si>
  <si>
    <t>renewable annually unless one of the parties gives written notice of their intent to terminate the</t>
  </si>
  <si>
    <t>agreement. Total expense under the agreement for the years ended December 31, 2010 and 2009</t>
  </si>
  <si>
    <t>was $136,990 and $123,628, respectively. In addition, the Authority has entered into an</t>
  </si>
  <si>
    <t>Agreement with Miller Environmental, Inc. to perform executive director services for the</t>
  </si>
  <si>
    <t>Authority.</t>
  </si>
  <si>
    <t>Water Reading Services Agreement</t>
  </si>
  <si>
    <t>The Authority has entered into an agreement with Miller Environmental, Inc. to perform</t>
  </si>
  <si>
    <t>water reading services in the Authority’s service area. Under the terms of the original</t>
  </si>
  <si>
    <t>agreement, the Authority currently pays a monthly operating fee of approximately $37,000 plus</t>
  </si>
  <si>
    <t>additional hourly charges for services performed outside the scope of the agreement. The</t>
  </si>
  <si>
    <t>monthly fee and hourly rates are subject to a 5% increase per year, effective March 1 of each</t>
  </si>
  <si>
    <t>year. The agreement was extended March 1, 2006 for a three-year term and is automatically</t>
  </si>
  <si>
    <t>renewable for three-year terms unless one of the parties give written notice of their intent to</t>
  </si>
  <si>
    <t>terminate the agreement. Total expense under the agreement for the years ended December 31,</t>
  </si>
  <si>
    <t>2010 and 2009 was $498,226 and $474,501, respectively</t>
  </si>
  <si>
    <t>They provide as percent of total delivered (metered) water.</t>
  </si>
  <si>
    <t>The Authority imposed a substantial increase in consumption charges to large water users</t>
  </si>
  <si>
    <t>effective March 1, 2007. In addition, under the Authority’s rate resolutions, rates will increase</t>
  </si>
  <si>
    <t>3% per year beginning January 1, 2008 without further action by the Authority. On March 8,</t>
  </si>
  <si>
    <t>2011 it was resolved that all Authority rates and charges, including those for water consumption,</t>
  </si>
  <si>
    <t>meter fees, meter surcharges and all other services, such as abandonment fees, service restoration</t>
  </si>
  <si>
    <t>fees and meter tampering fees, exempting only Tapping Fees, shall increase by 12%. On</t>
  </si>
  <si>
    <t>November 15, 2011, it was resolved that all Authority rates and charges, including those for</t>
  </si>
  <si>
    <t>water consumption, meter fees, meter surcharges and all other services, such as abandonment</t>
  </si>
  <si>
    <t>fees, service restoration fees and meter tampering fees, exempting only Tapping Fees, shall</t>
  </si>
  <si>
    <t>increase by 13.5%, effective January 1, 2012. Authority rates are not subject to review or</t>
  </si>
  <si>
    <t>approval of the Pennsylvania Public Utility Commission or any other entity with authority to</t>
  </si>
  <si>
    <t>review or approve rates.</t>
  </si>
  <si>
    <t>Both</t>
  </si>
  <si>
    <t>Sewer</t>
  </si>
  <si>
    <t>1000 gallons &amp; 0.75 or larger meter</t>
  </si>
  <si>
    <t>1000 gallons &amp; 0.625" meter</t>
  </si>
  <si>
    <t>Ontelaunee Power Operating LLC</t>
  </si>
  <si>
    <t>Power</t>
  </si>
  <si>
    <t>Pfisterer Partnership Biesenbac</t>
  </si>
  <si>
    <t>Sweet Street Desserts</t>
  </si>
  <si>
    <t>Food Service</t>
  </si>
  <si>
    <t>Burgoe Realty</t>
  </si>
  <si>
    <t>Nonresidential Buildings</t>
  </si>
  <si>
    <t>They also state largest commercial and industrial user - not sure if they are removing public institutions?</t>
  </si>
  <si>
    <t>Interest and penalty charges</t>
  </si>
  <si>
    <t>Tampered meter and other charges</t>
  </si>
  <si>
    <t>Meter Reading</t>
  </si>
  <si>
    <t>Contracted Services</t>
  </si>
  <si>
    <t>Capital Contributions &amp; Period Adjustments</t>
  </si>
  <si>
    <t>Again - this seems to be a zero off in the gallons compared to previous years. Adjusted to match previous years by adding a zero</t>
  </si>
  <si>
    <t>Debt Service Coverage</t>
  </si>
  <si>
    <t>Operating and Non-Operating Revenues</t>
  </si>
  <si>
    <t>Operating Expenses (exclude Depreciation and Amortization)</t>
  </si>
  <si>
    <t>Difference</t>
  </si>
  <si>
    <t>Annual Bond Debt Service</t>
  </si>
  <si>
    <t>Authority is purchasing a water system for $800,000 in 2011</t>
  </si>
  <si>
    <t>Scott Wynton Butler</t>
  </si>
  <si>
    <t>Thomas Brogan</t>
  </si>
  <si>
    <t>Greater Berks Dev Fund</t>
  </si>
  <si>
    <t>Ontelaunee Township</t>
  </si>
  <si>
    <t>Aratex Services</t>
  </si>
  <si>
    <t>Laundry</t>
  </si>
  <si>
    <t>Surveying/Dredging</t>
  </si>
  <si>
    <t>Ernie Schlegel</t>
  </si>
  <si>
    <t>Gery Fisher</t>
  </si>
  <si>
    <t>Secretary / Treasurer</t>
  </si>
  <si>
    <t>Julissa Espinal</t>
  </si>
  <si>
    <t>Maria Rodriquez</t>
  </si>
  <si>
    <t>Ron Hatt</t>
  </si>
  <si>
    <t>Reading Housing Authority</t>
  </si>
  <si>
    <t>Reading School District</t>
  </si>
  <si>
    <t>School</t>
  </si>
  <si>
    <t>Albright College</t>
  </si>
  <si>
    <t>University</t>
  </si>
  <si>
    <t>Metropolitan Management Group</t>
  </si>
  <si>
    <t>Apartment</t>
  </si>
  <si>
    <t>Assured Guaranty Municipal</t>
  </si>
  <si>
    <t>Refund 2007 Bonds</t>
  </si>
  <si>
    <t>AA</t>
  </si>
  <si>
    <t>Provided this</t>
  </si>
  <si>
    <t>Took 13.3/(100-24)</t>
  </si>
  <si>
    <t>Supplies</t>
  </si>
  <si>
    <t>Unrestricted Cash</t>
  </si>
  <si>
    <t>Water Revenue Bond 2003</t>
  </si>
  <si>
    <t>Water Revenue Bond 2007</t>
  </si>
  <si>
    <t>PennVest</t>
  </si>
  <si>
    <t>Bond</t>
  </si>
  <si>
    <t>Loan</t>
  </si>
  <si>
    <t>Water Revenue Bond 2011</t>
  </si>
  <si>
    <t>Water Revenue Note 2012</t>
  </si>
  <si>
    <t>Note</t>
  </si>
  <si>
    <t>Ralph Johnson</t>
  </si>
  <si>
    <t>Steve Symons</t>
  </si>
  <si>
    <t>Josephina Encarnacion</t>
  </si>
  <si>
    <t>Steven McCracken</t>
  </si>
  <si>
    <t>Employee Benefits</t>
  </si>
  <si>
    <t>This connection goes to PA American, Otelaunee, and Bern Township. There are 5 connections to WBWA.</t>
  </si>
  <si>
    <t>The data is not entirely accurate because based on largest customers, they clearly sell water.</t>
  </si>
  <si>
    <t>Cecile Grimshaw</t>
  </si>
  <si>
    <t>CedarPak</t>
  </si>
  <si>
    <t>Moody downgraded AGM to A2 in 2013</t>
  </si>
  <si>
    <t>document</t>
  </si>
  <si>
    <t>page</t>
  </si>
  <si>
    <t>description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</si>
  <si>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</si>
  <si>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</si>
  <si>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</si>
  <si>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</si>
  <si>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</si>
  <si>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</si>
  <si>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</si>
  <si>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</si>
  <si>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</si>
  <si>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</si>
  <si>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</si>
  <si>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</si>
  <si>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</si>
  <si>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</si>
  <si>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</si>
  <si>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</si>
  <si>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</si>
  <si>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</si>
  <si>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</si>
  <si>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</si>
  <si>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</si>
  <si>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</si>
  <si>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</si>
  <si>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principal</t>
  </si>
  <si>
    <t>total</t>
  </si>
  <si>
    <t>otherDebt</t>
  </si>
  <si>
    <t>totalDebtService</t>
  </si>
  <si>
    <t>netIncome</t>
  </si>
  <si>
    <t>principalInterest</t>
  </si>
  <si>
    <t>debtServCovNet</t>
  </si>
  <si>
    <t>debtServCovTotal</t>
  </si>
  <si>
    <t>members</t>
  </si>
  <si>
    <t>office</t>
  </si>
  <si>
    <t>termExpire</t>
  </si>
  <si>
    <t>municipality</t>
  </si>
  <si>
    <t>taxingPower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</si>
  <si>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</si>
  <si>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</si>
  <si>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</si>
  <si>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</si>
  <si>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</si>
  <si>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</si>
  <si>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</si>
  <si>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</si>
  <si>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tier</t>
  </si>
  <si>
    <t>groupBy</t>
  </si>
  <si>
    <t>location</t>
  </si>
  <si>
    <t>volume_MGD</t>
  </si>
  <si>
    <t>annual_MG</t>
  </si>
  <si>
    <t>Entire</t>
  </si>
  <si>
    <t>grossPercent</t>
  </si>
  <si>
    <t>adjustedPercent</t>
  </si>
  <si>
    <t>method</t>
  </si>
  <si>
    <t>customer</t>
  </si>
  <si>
    <t>revenue</t>
  </si>
  <si>
    <t>percentGal</t>
  </si>
  <si>
    <t>percentRev</t>
  </si>
  <si>
    <t>billFrequency</t>
  </si>
  <si>
    <t>charges</t>
  </si>
  <si>
    <t>gallonsIncluded</t>
  </si>
  <si>
    <t>category</t>
  </si>
  <si>
    <t>subcategory</t>
  </si>
  <si>
    <t>uncollected</t>
  </si>
  <si>
    <t>percentCollected</t>
  </si>
  <si>
    <t>Current Assets</t>
  </si>
  <si>
    <t>Cash</t>
  </si>
  <si>
    <t>Accounts Receivable - Billed</t>
  </si>
  <si>
    <t>Accounts Receivable - Unbilled</t>
  </si>
  <si>
    <t>Prepaid Insurance</t>
  </si>
  <si>
    <t>Total Assets</t>
  </si>
  <si>
    <t>Restricted Assets</t>
  </si>
  <si>
    <t>Construction Fund</t>
  </si>
  <si>
    <t>Debt Service Fund</t>
  </si>
  <si>
    <t>Surplus and retirement account</t>
  </si>
  <si>
    <t>Revenue funds</t>
  </si>
  <si>
    <t>Total Restricted Assets</t>
  </si>
  <si>
    <t>Fixed Assets</t>
  </si>
  <si>
    <t>Property</t>
  </si>
  <si>
    <t>Accumulated depreciation</t>
  </si>
  <si>
    <t>Property Less Depreciation</t>
  </si>
  <si>
    <t>Total Fixed Assets</t>
  </si>
  <si>
    <t>Current Liabilities</t>
  </si>
  <si>
    <t>Accounts payable</t>
  </si>
  <si>
    <t>Accrued interest expense</t>
  </si>
  <si>
    <t>Total Current Liabilities</t>
  </si>
  <si>
    <t>Longterm Liabilities</t>
  </si>
  <si>
    <t>Water Revenue Bonds</t>
  </si>
  <si>
    <t>Total Longterm Debt</t>
  </si>
  <si>
    <t>Total Liabilities</t>
  </si>
  <si>
    <t>Fund Equity</t>
  </si>
  <si>
    <t>Total Fund Equity</t>
  </si>
  <si>
    <t>Deferred Inflow Resources</t>
  </si>
  <si>
    <t>Total Liabilities and Fund Equity</t>
  </si>
  <si>
    <t>netRevenue</t>
  </si>
  <si>
    <t>Taxes Receivable</t>
  </si>
  <si>
    <t>Due to other Governments</t>
  </si>
  <si>
    <t>Deferred Revenues</t>
  </si>
  <si>
    <t>Reserved</t>
  </si>
  <si>
    <t>Unreserved</t>
  </si>
  <si>
    <t>Other Assets</t>
  </si>
  <si>
    <t>Due from City - Pennvest Loan Assumption</t>
  </si>
  <si>
    <t>Unamortized bond issue costs</t>
  </si>
  <si>
    <t>Total Other Assets</t>
  </si>
  <si>
    <t>Due to City of Reading</t>
  </si>
  <si>
    <t>Revenue Bonds Payable</t>
  </si>
  <si>
    <t>Note Payable</t>
  </si>
  <si>
    <t>Pennvest Loans Payable</t>
  </si>
  <si>
    <t>Unamoritzed interest</t>
  </si>
  <si>
    <t>Due from City of Reading</t>
  </si>
  <si>
    <t>Leased land rights</t>
  </si>
  <si>
    <t>Longterm Debt Total</t>
  </si>
  <si>
    <t>Supply Inventory</t>
  </si>
  <si>
    <t>Due from Other Funds (e.g. trash, recylcing…)</t>
  </si>
  <si>
    <t>Deferred Outflow of Resources</t>
  </si>
  <si>
    <t>Capital Assets in Construction</t>
  </si>
  <si>
    <t>Accrued payroll (vacation or absences)</t>
  </si>
  <si>
    <t>Escrow deposits</t>
  </si>
  <si>
    <t>Investment in Capital Assets</t>
  </si>
  <si>
    <t>Deferred</t>
  </si>
  <si>
    <t>otherClass</t>
  </si>
  <si>
    <t>rateCovenantCurrent</t>
  </si>
  <si>
    <t>rateCovenantTotal</t>
  </si>
  <si>
    <t>debtSRF</t>
  </si>
  <si>
    <t>openLoop</t>
  </si>
  <si>
    <t>Yes</t>
  </si>
  <si>
    <t>**can also look in cash flow statement for capex value</t>
  </si>
  <si>
    <t>*in cases where accumulated depcreciation is not available, calculate as: 35 - (net PPE / annual depreciation expense)</t>
  </si>
  <si>
    <t>CapEx</t>
  </si>
  <si>
    <t>**</t>
  </si>
  <si>
    <t>Replacement ratio</t>
  </si>
  <si>
    <r>
      <t xml:space="preserve">_[8]_
</t>
    </r>
    <r>
      <rPr>
        <sz val="11"/>
        <color theme="1"/>
        <rFont val="Calibri"/>
        <family val="2"/>
        <scheme val="minor"/>
      </rPr>
      <t>[3]</t>
    </r>
  </si>
  <si>
    <t>Average plant age</t>
  </si>
  <si>
    <t>*</t>
  </si>
  <si>
    <r>
      <t>__</t>
    </r>
    <r>
      <rPr>
        <u/>
        <sz val="11"/>
        <color theme="1"/>
        <rFont val="Calibri"/>
        <family val="2"/>
        <scheme val="minor"/>
      </rPr>
      <t>[11]</t>
    </r>
    <r>
      <rPr>
        <sz val="11"/>
        <color theme="1"/>
        <rFont val="Calibri"/>
        <family val="2"/>
        <scheme val="minor"/>
      </rPr>
      <t>__
( [10] - [11])</t>
    </r>
  </si>
  <si>
    <t>Debt to Equity Ratio</t>
  </si>
  <si>
    <r>
      <t xml:space="preserve">_[8]_
</t>
    </r>
    <r>
      <rPr>
        <sz val="11"/>
        <color theme="1"/>
        <rFont val="Calibri"/>
        <family val="2"/>
        <scheme val="minor"/>
      </rPr>
      <t>[9]</t>
    </r>
  </si>
  <si>
    <t>Percent of capital assets depreciated</t>
  </si>
  <si>
    <r>
      <t xml:space="preserve">____[7]____
</t>
    </r>
    <r>
      <rPr>
        <sz val="11"/>
        <color theme="1"/>
        <rFont val="Calibri"/>
        <family val="2"/>
        <scheme val="minor"/>
      </rPr>
      <t>(([2] - [3])/365)</t>
    </r>
  </si>
  <si>
    <t>Days cash on hand</t>
  </si>
  <si>
    <r>
      <t xml:space="preserve">_[5]_
</t>
    </r>
    <r>
      <rPr>
        <sz val="11"/>
        <color theme="1"/>
        <rFont val="Calibri"/>
        <family val="2"/>
        <scheme val="minor"/>
      </rPr>
      <t>[6]</t>
    </r>
  </si>
  <si>
    <t>Quick Ratio</t>
  </si>
  <si>
    <t>Debt Service coverage ratio</t>
  </si>
  <si>
    <r>
      <t>___</t>
    </r>
    <r>
      <rPr>
        <u/>
        <sz val="11"/>
        <color theme="1"/>
        <rFont val="Calibri"/>
        <family val="2"/>
        <scheme val="minor"/>
      </rPr>
      <t>[1]</t>
    </r>
    <r>
      <rPr>
        <sz val="11"/>
        <color theme="1"/>
        <rFont val="Calibri"/>
        <family val="2"/>
        <scheme val="minor"/>
      </rPr>
      <t xml:space="preserve">___
 [2] - [3] </t>
    </r>
  </si>
  <si>
    <t>Operating Ratio (not including depreciation)</t>
  </si>
  <si>
    <r>
      <rPr>
        <u/>
        <sz val="11"/>
        <color theme="1"/>
        <rFont val="Calibri"/>
        <family val="2"/>
        <scheme val="minor"/>
      </rPr>
      <t xml:space="preserve">_[1]_ </t>
    </r>
    <r>
      <rPr>
        <sz val="11"/>
        <color theme="1"/>
        <rFont val="Calibri"/>
        <family val="2"/>
        <scheme val="minor"/>
      </rPr>
      <t xml:space="preserve">
[2]</t>
    </r>
  </si>
  <si>
    <t>Operating Ratio (including depreciation)</t>
  </si>
  <si>
    <t>Formula</t>
  </si>
  <si>
    <t>Indicators</t>
  </si>
  <si>
    <t>Capital spending</t>
  </si>
  <si>
    <t>[12]</t>
  </si>
  <si>
    <t>[11]</t>
  </si>
  <si>
    <t>[10]</t>
  </si>
  <si>
    <t>Enter the total value of capital assets being depreciated (buildings, equipment, othre improvements) only. Often listed in Detail Notes on Capital Assets.</t>
  </si>
  <si>
    <t>Total Depreciable Capital Assets</t>
  </si>
  <si>
    <t>[9]</t>
  </si>
  <si>
    <t>Total accumulated depreciation on capital assets being depreciated (buildings, equipment, other improvements) is usually shown in the Detail Notes on Capital Assets.</t>
  </si>
  <si>
    <t>Total Accumulated Depreciation</t>
  </si>
  <si>
    <t>[8]</t>
  </si>
  <si>
    <t>Unrestricted Cash &amp; Investments (and Cash Equivalents) is listed as a line item within Current Assets</t>
  </si>
  <si>
    <t>Unrestricted Cash &amp; Investments</t>
  </si>
  <si>
    <t>[7]</t>
  </si>
  <si>
    <t>Total Current Liabilities minus all refundable deposits and bond anticipation notes</t>
  </si>
  <si>
    <t>Current Liabilities, excluding deposits &amp; bond anticipation notes</t>
  </si>
  <si>
    <t>[6]</t>
  </si>
  <si>
    <t>Total Current Assets minus all inventories, prepaid items and any kind of restricted cash or restricted assets that cannot be used to pay for Current Liabilities</t>
  </si>
  <si>
    <t>Current Assets, excluding inventories, restricted cash, prepaids</t>
  </si>
  <si>
    <t>[5]</t>
  </si>
  <si>
    <t>Enter $0 if there were no debt service payments</t>
  </si>
  <si>
    <t>Debt Interest Payments</t>
  </si>
  <si>
    <t>[4b]</t>
  </si>
  <si>
    <t>Debt Principal Payments</t>
  </si>
  <si>
    <t>[4]</t>
  </si>
  <si>
    <t>Depreciation and amortization are listed as a line item within Operating Expenses</t>
  </si>
  <si>
    <t>Depreciation &amp; Amortization Expenses</t>
  </si>
  <si>
    <t>[3]</t>
  </si>
  <si>
    <t>Enter as shown in the Total Operating Expenses line</t>
  </si>
  <si>
    <t>[2]</t>
  </si>
  <si>
    <t>Enter as shown in the Total Operating Revenues line</t>
  </si>
  <si>
    <t>[1]</t>
  </si>
  <si>
    <t>Notes</t>
  </si>
  <si>
    <t>Line Item</t>
  </si>
  <si>
    <t xml:space="preserve"> </t>
  </si>
  <si>
    <r>
      <t xml:space="preserve">_[1] -  [2] + [3] _
</t>
    </r>
    <r>
      <rPr>
        <sz val="11"/>
        <color theme="1"/>
        <rFont val="Calibri"/>
        <family val="2"/>
        <scheme val="minor"/>
      </rPr>
      <t>[4] + [4b]</t>
    </r>
  </si>
  <si>
    <r>
      <rPr>
        <u/>
        <sz val="11"/>
        <color theme="1"/>
        <rFont val="Calibri"/>
        <family val="2"/>
        <scheme val="minor"/>
      </rPr>
      <t xml:space="preserve">_CapEx_
</t>
    </r>
    <r>
      <rPr>
        <sz val="11"/>
        <color theme="1"/>
        <rFont val="Calibri"/>
        <family val="2"/>
        <scheme val="minor"/>
      </rPr>
      <t>[3]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</si>
</sst>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164" fontId="1" fillId="2" borderId="0" xfId="1" applyNumberFormat="1" applyFont="1" applyFill="1"/>
    <xf numFmtId="2" fontId="0" fillId="2" borderId="0" xfId="0" applyNumberFormat="1" applyFill="1"/>
    <xf numFmtId="0" fontId="0" fillId="2" borderId="0" xfId="0" applyFont="1" applyFill="1"/>
    <xf numFmtId="0" fontId="0" fillId="2" borderId="0" xfId="0" applyFont="1" applyFill="1" applyBorder="1"/>
    <xf numFmtId="165" fontId="0" fillId="2" borderId="0" xfId="0" applyNumberFormat="1" applyFont="1" applyFill="1" applyBorder="1" applyAlignment="1">
      <alignment horizontal="center"/>
    </xf>
    <xf numFmtId="164" fontId="1" fillId="2" borderId="0" xfId="1" applyNumberFormat="1" applyFont="1" applyFill="1" applyBorder="1"/>
    <xf numFmtId="0" fontId="0" fillId="2" borderId="0" xfId="0" applyFill="1" applyAlignment="1">
      <alignment horizontal="center"/>
    </xf>
    <xf numFmtId="0" fontId="4" fillId="2" borderId="0" xfId="0" applyFont="1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164" fontId="0" fillId="2" borderId="0" xfId="0" applyNumberFormat="1" applyFill="1"/>
    <xf numFmtId="166" fontId="3" fillId="2" borderId="0" xfId="0" applyNumberFormat="1" applyFont="1" applyFill="1"/>
    <xf numFmtId="0" fontId="3" fillId="2" borderId="1" xfId="0" applyFont="1" applyFill="1" applyBorder="1" applyAlignment="1">
      <alignment vertical="center"/>
    </xf>
    <xf numFmtId="164" fontId="1" fillId="2" borderId="0" xfId="1" applyNumberFormat="1" applyFont="1" applyFill="1" applyAlignment="1">
      <alignment horizontal="center"/>
    </xf>
    <xf numFmtId="164" fontId="3" fillId="3" borderId="0" xfId="1" applyNumberFormat="1" applyFont="1" applyFill="1"/>
    <xf numFmtId="164" fontId="1" fillId="3" borderId="0" xfId="1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/>
    <xf numFmtId="0" fontId="6" fillId="0" borderId="1" xfId="0" applyFont="1" applyBorder="1"/>
    <xf numFmtId="0" fontId="7" fillId="0" borderId="0" xfId="0" applyFont="1"/>
    <xf numFmtId="164" fontId="0" fillId="0" borderId="0" xfId="1" applyNumberFormat="1" applyFont="1"/>
    <xf numFmtId="0" fontId="8" fillId="0" borderId="0" xfId="0" applyFont="1" applyAlignment="1">
      <alignment horizontal="left" indent="1"/>
    </xf>
    <xf numFmtId="0" fontId="3" fillId="0" borderId="0" xfId="0" applyFont="1" applyBorder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9" fontId="0" fillId="0" borderId="0" xfId="2" applyFont="1"/>
    <xf numFmtId="6" fontId="0" fillId="0" borderId="0" xfId="0" applyNumberForma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13"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E97BD8-BC68-4576-AA8D-B3F5F54033C6}" name="Table1" displayName="Table1" ref="A1:J29" totalsRowShown="0" headerRowDxfId="1" dataDxfId="0" headerRowBorderDxfId="12">
  <autoFilter ref="A1:J29" xr:uid="{106DC70F-B2D0-4416-8EC6-A86A892CFB4A}">
    <filterColumn colId="5">
      <filters>
        <filter val="Industrial"/>
        <filter val="Total"/>
      </filters>
    </filterColumn>
  </autoFilter>
  <sortState xmlns:xlrd2="http://schemas.microsoft.com/office/spreadsheetml/2017/richdata2" ref="A20:J29">
    <sortCondition ref="H1:H29"/>
  </sortState>
  <tableColumns count="10">
    <tableColumn id="1" xr3:uid="{A1A14B96-B51D-4C93-9D6B-0E507C9CED69}" name="PWSID" dataDxfId="11"/>
    <tableColumn id="2" xr3:uid="{058943CB-E19B-41F7-A552-66F137C8CCCB}" name="name" dataDxfId="10"/>
    <tableColumn id="3" xr3:uid="{49F8B26E-A353-4DC1-8477-A5EB25AF9EF9}" name="OSYear" dataDxfId="9"/>
    <tableColumn id="4" xr3:uid="{254B3242-7E78-4259-AB03-7054EE578E92}" name="WaterSewer" dataDxfId="8"/>
    <tableColumn id="5" xr3:uid="{DE882A07-88A0-423B-A658-758A2E1956EB}" name="groupBy" dataDxfId="7"/>
    <tableColumn id="6" xr3:uid="{BA26D300-0A38-4225-B9F8-2ADD1978D1A0}" name="class" dataDxfId="6"/>
    <tableColumn id="7" xr3:uid="{4D16EAED-F22B-4160-8E13-8FAB97249227}" name="tier" dataDxfId="5"/>
    <tableColumn id="8" xr3:uid="{FBC7A34F-2AA7-48E1-B181-A04EFCFC5BD0}" name="year" dataDxfId="4"/>
    <tableColumn id="9" xr3:uid="{1E602258-952B-43B3-AF48-3E8CDF99A21D}" name="nConnections" dataDxfId="3"/>
    <tableColumn id="10" xr3:uid="{20D0E895-88AC-4955-8873-D07664E70ECA}" name="not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opLeftCell="A41" workbookViewId="0">
      <selection activeCell="C58" sqref="C58"/>
    </sheetView>
  </sheetViews>
  <sheetFormatPr defaultColWidth="8.90625" defaultRowHeight="14.5" x14ac:dyDescent="0.35"/>
  <cols>
    <col min="1" max="16384" width="8.90625" style="1"/>
  </cols>
  <sheetData>
    <row r="1" spans="1:3" x14ac:dyDescent="0.35">
      <c r="A1" s="28" t="s">
        <v>360</v>
      </c>
      <c r="B1" s="28" t="s">
        <v>361</v>
      </c>
      <c r="C1" s="28" t="s">
        <v>362</v>
      </c>
    </row>
    <row r="4" spans="1:3" x14ac:dyDescent="0.35">
      <c r="A4" s="1" t="s">
        <v>139</v>
      </c>
    </row>
    <row r="5" spans="1:3" x14ac:dyDescent="0.35">
      <c r="A5" s="1" t="s">
        <v>140</v>
      </c>
    </row>
    <row r="8" spans="1:3" x14ac:dyDescent="0.35">
      <c r="A8" s="1" t="s">
        <v>216</v>
      </c>
    </row>
    <row r="11" spans="1:3" x14ac:dyDescent="0.35">
      <c r="A11" s="1" t="s">
        <v>238</v>
      </c>
    </row>
    <row r="12" spans="1:3" x14ac:dyDescent="0.35">
      <c r="A12" s="1" t="s">
        <v>239</v>
      </c>
    </row>
    <row r="13" spans="1:3" x14ac:dyDescent="0.35">
      <c r="A13" s="1" t="s">
        <v>240</v>
      </c>
    </row>
    <row r="14" spans="1:3" x14ac:dyDescent="0.35">
      <c r="A14" s="1" t="s">
        <v>241</v>
      </c>
    </row>
    <row r="15" spans="1:3" x14ac:dyDescent="0.35">
      <c r="A15" s="1" t="s">
        <v>242</v>
      </c>
    </row>
    <row r="16" spans="1:3" x14ac:dyDescent="0.35">
      <c r="A16" s="1" t="s">
        <v>243</v>
      </c>
    </row>
    <row r="17" spans="1:6" x14ac:dyDescent="0.35">
      <c r="A17" s="1" t="s">
        <v>244</v>
      </c>
    </row>
    <row r="18" spans="1:6" x14ac:dyDescent="0.35">
      <c r="A18" s="1" t="s">
        <v>245</v>
      </c>
    </row>
    <row r="19" spans="1:6" x14ac:dyDescent="0.35">
      <c r="A19" s="1" t="s">
        <v>246</v>
      </c>
    </row>
    <row r="20" spans="1:6" x14ac:dyDescent="0.35">
      <c r="A20" s="1" t="s">
        <v>247</v>
      </c>
    </row>
    <row r="21" spans="1:6" x14ac:dyDescent="0.35">
      <c r="A21" s="1" t="s">
        <v>248</v>
      </c>
    </row>
    <row r="22" spans="1:6" x14ac:dyDescent="0.35">
      <c r="A22" s="1" t="s">
        <v>249</v>
      </c>
    </row>
    <row r="23" spans="1:6" x14ac:dyDescent="0.35">
      <c r="A23" s="1" t="s">
        <v>250</v>
      </c>
    </row>
    <row r="24" spans="1:6" x14ac:dyDescent="0.35">
      <c r="A24" s="1" t="s">
        <v>251</v>
      </c>
    </row>
    <row r="25" spans="1:6" x14ac:dyDescent="0.35">
      <c r="A25" s="1" t="s">
        <v>252</v>
      </c>
    </row>
    <row r="26" spans="1:6" x14ac:dyDescent="0.35">
      <c r="A26" s="1" t="s">
        <v>253</v>
      </c>
    </row>
    <row r="27" spans="1:6" x14ac:dyDescent="0.35">
      <c r="A27" s="1" t="s">
        <v>254</v>
      </c>
    </row>
    <row r="28" spans="1:6" x14ac:dyDescent="0.35">
      <c r="A28" s="1" t="s">
        <v>255</v>
      </c>
    </row>
    <row r="29" spans="1:6" x14ac:dyDescent="0.35">
      <c r="A29" s="23" t="s">
        <v>256</v>
      </c>
      <c r="B29" s="23"/>
      <c r="C29" s="23"/>
      <c r="D29" s="23"/>
      <c r="E29" s="23"/>
      <c r="F29" s="23"/>
    </row>
    <row r="31" spans="1:6" x14ac:dyDescent="0.35">
      <c r="A31" s="1" t="s">
        <v>259</v>
      </c>
    </row>
    <row r="32" spans="1:6" x14ac:dyDescent="0.35">
      <c r="A32" s="1" t="s">
        <v>260</v>
      </c>
    </row>
    <row r="33" spans="1:1" x14ac:dyDescent="0.35">
      <c r="A33" s="1" t="s">
        <v>261</v>
      </c>
    </row>
    <row r="34" spans="1:1" x14ac:dyDescent="0.35">
      <c r="A34" s="1" t="s">
        <v>262</v>
      </c>
    </row>
    <row r="35" spans="1:1" x14ac:dyDescent="0.35">
      <c r="A35" s="1" t="s">
        <v>263</v>
      </c>
    </row>
    <row r="36" spans="1:1" x14ac:dyDescent="0.35">
      <c r="A36" s="1" t="s">
        <v>264</v>
      </c>
    </row>
    <row r="37" spans="1:1" x14ac:dyDescent="0.35">
      <c r="A37" s="1" t="s">
        <v>265</v>
      </c>
    </row>
    <row r="38" spans="1:1" x14ac:dyDescent="0.35">
      <c r="A38" s="1" t="s">
        <v>266</v>
      </c>
    </row>
    <row r="39" spans="1:1" x14ac:dyDescent="0.35">
      <c r="A39" s="1" t="s">
        <v>267</v>
      </c>
    </row>
    <row r="41" spans="1:1" x14ac:dyDescent="0.35">
      <c r="A41" s="1" t="s">
        <v>268</v>
      </c>
    </row>
    <row r="42" spans="1:1" x14ac:dyDescent="0.35">
      <c r="A42" s="1" t="s">
        <v>269</v>
      </c>
    </row>
    <row r="43" spans="1:1" x14ac:dyDescent="0.35">
      <c r="A43" s="1" t="s">
        <v>270</v>
      </c>
    </row>
    <row r="44" spans="1:1" x14ac:dyDescent="0.35">
      <c r="A44" s="1" t="s">
        <v>271</v>
      </c>
    </row>
    <row r="45" spans="1:1" x14ac:dyDescent="0.35">
      <c r="A45" s="1" t="s">
        <v>272</v>
      </c>
    </row>
    <row r="46" spans="1:1" x14ac:dyDescent="0.35">
      <c r="A46" s="1" t="s">
        <v>273</v>
      </c>
    </row>
    <row r="47" spans="1:1" x14ac:dyDescent="0.35">
      <c r="A47" s="1" t="s">
        <v>274</v>
      </c>
    </row>
    <row r="48" spans="1:1" x14ac:dyDescent="0.35">
      <c r="A48" s="1" t="s">
        <v>275</v>
      </c>
    </row>
    <row r="49" spans="1:1" x14ac:dyDescent="0.35">
      <c r="A49" s="1" t="s">
        <v>276</v>
      </c>
    </row>
    <row r="50" spans="1:1" x14ac:dyDescent="0.35">
      <c r="A50" s="1" t="s">
        <v>277</v>
      </c>
    </row>
    <row r="54" spans="1:1" x14ac:dyDescent="0.35">
      <c r="A54" s="1" t="s">
        <v>279</v>
      </c>
    </row>
    <row r="55" spans="1:1" x14ac:dyDescent="0.35">
      <c r="A55" s="1" t="s">
        <v>280</v>
      </c>
    </row>
    <row r="56" spans="1:1" x14ac:dyDescent="0.35">
      <c r="A56" s="1" t="s">
        <v>281</v>
      </c>
    </row>
    <row r="57" spans="1:1" x14ac:dyDescent="0.35">
      <c r="A57" s="1" t="s">
        <v>282</v>
      </c>
    </row>
    <row r="58" spans="1:1" x14ac:dyDescent="0.35">
      <c r="A58" s="1" t="s">
        <v>283</v>
      </c>
    </row>
    <row r="59" spans="1:1" x14ac:dyDescent="0.35">
      <c r="A59" s="1" t="s">
        <v>284</v>
      </c>
    </row>
    <row r="60" spans="1:1" x14ac:dyDescent="0.35">
      <c r="A60" s="1" t="s">
        <v>285</v>
      </c>
    </row>
    <row r="61" spans="1:1" x14ac:dyDescent="0.35">
      <c r="A61" s="1" t="s">
        <v>286</v>
      </c>
    </row>
    <row r="62" spans="1:1" x14ac:dyDescent="0.35">
      <c r="A62" s="1" t="s">
        <v>287</v>
      </c>
    </row>
    <row r="63" spans="1:1" x14ac:dyDescent="0.35">
      <c r="A63" s="1" t="s">
        <v>288</v>
      </c>
    </row>
    <row r="64" spans="1:1" x14ac:dyDescent="0.35">
      <c r="A64" s="1" t="s">
        <v>289</v>
      </c>
    </row>
    <row r="65" spans="1:1" x14ac:dyDescent="0.35">
      <c r="A65" s="1" t="s">
        <v>290</v>
      </c>
    </row>
    <row r="68" spans="1:1" x14ac:dyDescent="0.35">
      <c r="A68" s="7" t="s">
        <v>314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3"/>
  <sheetViews>
    <sheetView workbookViewId="0"/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8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399</v>
      </c>
      <c r="F1" s="2" t="s">
        <v>397</v>
      </c>
      <c r="G1" s="2" t="s">
        <v>384</v>
      </c>
      <c r="H1" s="4" t="s">
        <v>371</v>
      </c>
    </row>
    <row r="2" spans="1:8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147</v>
      </c>
      <c r="F2" s="1" t="s">
        <v>148</v>
      </c>
      <c r="G2" s="1" t="s">
        <v>149</v>
      </c>
    </row>
    <row r="3" spans="1:8" x14ac:dyDescent="0.35">
      <c r="A3" s="1" t="s">
        <v>125</v>
      </c>
      <c r="B3" s="1" t="s">
        <v>126</v>
      </c>
      <c r="C3" s="1">
        <v>1997</v>
      </c>
      <c r="D3" s="1" t="s">
        <v>103</v>
      </c>
      <c r="E3" s="1" t="s">
        <v>147</v>
      </c>
      <c r="F3" s="1" t="s">
        <v>150</v>
      </c>
      <c r="G3" s="1" t="s">
        <v>98</v>
      </c>
    </row>
    <row r="4" spans="1:8" x14ac:dyDescent="0.35">
      <c r="A4" s="1" t="s">
        <v>125</v>
      </c>
      <c r="B4" s="1" t="s">
        <v>126</v>
      </c>
      <c r="C4" s="1">
        <v>1997</v>
      </c>
      <c r="D4" s="1" t="s">
        <v>103</v>
      </c>
      <c r="E4" s="1" t="s">
        <v>147</v>
      </c>
      <c r="F4" s="1" t="s">
        <v>151</v>
      </c>
      <c r="G4" s="1" t="s">
        <v>98</v>
      </c>
    </row>
    <row r="5" spans="1:8" x14ac:dyDescent="0.35">
      <c r="A5" s="1" t="s">
        <v>125</v>
      </c>
      <c r="B5" s="1" t="s">
        <v>126</v>
      </c>
      <c r="C5" s="1">
        <v>1997</v>
      </c>
      <c r="D5" s="1" t="s">
        <v>103</v>
      </c>
      <c r="E5" s="1" t="s">
        <v>147</v>
      </c>
      <c r="F5" s="1" t="s">
        <v>152</v>
      </c>
      <c r="G5" s="1" t="s">
        <v>98</v>
      </c>
    </row>
    <row r="6" spans="1:8" x14ac:dyDescent="0.35">
      <c r="A6" s="1" t="s">
        <v>125</v>
      </c>
      <c r="B6" s="1" t="s">
        <v>126</v>
      </c>
      <c r="C6" s="1">
        <v>1997</v>
      </c>
      <c r="D6" s="1" t="s">
        <v>103</v>
      </c>
      <c r="E6" s="1" t="s">
        <v>147</v>
      </c>
      <c r="F6" s="1" t="s">
        <v>153</v>
      </c>
      <c r="G6" s="1" t="s">
        <v>98</v>
      </c>
    </row>
    <row r="7" spans="1:8" x14ac:dyDescent="0.35">
      <c r="A7" s="1" t="s">
        <v>125</v>
      </c>
      <c r="B7" s="1" t="s">
        <v>126</v>
      </c>
      <c r="C7" s="1">
        <v>1997</v>
      </c>
      <c r="D7" s="1" t="s">
        <v>103</v>
      </c>
      <c r="E7" s="1" t="s">
        <v>147</v>
      </c>
      <c r="F7" s="1" t="s">
        <v>154</v>
      </c>
      <c r="G7" s="1" t="s">
        <v>98</v>
      </c>
    </row>
    <row r="8" spans="1:8" x14ac:dyDescent="0.35">
      <c r="A8" s="1" t="s">
        <v>125</v>
      </c>
      <c r="B8" s="1" t="s">
        <v>126</v>
      </c>
      <c r="C8" s="1">
        <v>1997</v>
      </c>
      <c r="D8" s="1" t="s">
        <v>103</v>
      </c>
      <c r="E8" s="1" t="s">
        <v>147</v>
      </c>
      <c r="F8" s="1" t="s">
        <v>155</v>
      </c>
      <c r="G8" s="1" t="s">
        <v>97</v>
      </c>
    </row>
    <row r="9" spans="1:8" x14ac:dyDescent="0.35">
      <c r="A9" s="1" t="s">
        <v>125</v>
      </c>
      <c r="B9" s="1" t="s">
        <v>126</v>
      </c>
      <c r="C9" s="1">
        <v>2002</v>
      </c>
      <c r="D9" s="1" t="s">
        <v>103</v>
      </c>
      <c r="E9" s="1" t="s">
        <v>147</v>
      </c>
      <c r="F9" s="1" t="s">
        <v>148</v>
      </c>
      <c r="G9" s="1" t="s">
        <v>149</v>
      </c>
    </row>
    <row r="10" spans="1:8" x14ac:dyDescent="0.35">
      <c r="A10" s="1" t="s">
        <v>125</v>
      </c>
      <c r="B10" s="1" t="s">
        <v>126</v>
      </c>
      <c r="C10" s="1">
        <v>2002</v>
      </c>
      <c r="D10" s="1" t="s">
        <v>103</v>
      </c>
      <c r="E10" s="1" t="s">
        <v>147</v>
      </c>
      <c r="F10" s="1" t="s">
        <v>150</v>
      </c>
      <c r="G10" s="1" t="s">
        <v>98</v>
      </c>
    </row>
    <row r="11" spans="1:8" x14ac:dyDescent="0.35">
      <c r="A11" s="1" t="s">
        <v>125</v>
      </c>
      <c r="B11" s="1" t="s">
        <v>126</v>
      </c>
      <c r="C11" s="1">
        <v>2002</v>
      </c>
      <c r="D11" s="1" t="s">
        <v>103</v>
      </c>
      <c r="E11" s="1" t="s">
        <v>147</v>
      </c>
      <c r="F11" s="1" t="s">
        <v>151</v>
      </c>
      <c r="G11" s="1" t="s">
        <v>98</v>
      </c>
    </row>
    <row r="12" spans="1:8" x14ac:dyDescent="0.35">
      <c r="A12" s="1" t="s">
        <v>125</v>
      </c>
      <c r="B12" s="1" t="s">
        <v>126</v>
      </c>
      <c r="C12" s="1">
        <v>2002</v>
      </c>
      <c r="D12" s="1" t="s">
        <v>103</v>
      </c>
      <c r="E12" s="1" t="s">
        <v>147</v>
      </c>
      <c r="F12" s="1" t="s">
        <v>152</v>
      </c>
      <c r="G12" s="1" t="s">
        <v>98</v>
      </c>
    </row>
    <row r="13" spans="1:8" x14ac:dyDescent="0.35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147</v>
      </c>
      <c r="F13" s="1" t="s">
        <v>153</v>
      </c>
      <c r="G13" s="1" t="s">
        <v>98</v>
      </c>
    </row>
    <row r="14" spans="1:8" x14ac:dyDescent="0.35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147</v>
      </c>
      <c r="F14" s="1" t="s">
        <v>154</v>
      </c>
      <c r="G14" s="1" t="s">
        <v>98</v>
      </c>
    </row>
    <row r="15" spans="1:8" x14ac:dyDescent="0.35">
      <c r="A15" s="1" t="s">
        <v>125</v>
      </c>
      <c r="B15" s="1" t="s">
        <v>126</v>
      </c>
      <c r="C15" s="1">
        <v>2002</v>
      </c>
      <c r="D15" s="1" t="s">
        <v>103</v>
      </c>
      <c r="E15" s="1" t="s">
        <v>147</v>
      </c>
      <c r="F15" s="1" t="s">
        <v>155</v>
      </c>
      <c r="G15" s="1" t="s">
        <v>97</v>
      </c>
    </row>
    <row r="16" spans="1:8" x14ac:dyDescent="0.35">
      <c r="A16" s="1" t="s">
        <v>125</v>
      </c>
      <c r="B16" s="1" t="s">
        <v>126</v>
      </c>
      <c r="C16" s="1">
        <v>2003</v>
      </c>
      <c r="D16" s="1" t="s">
        <v>103</v>
      </c>
      <c r="E16" s="1" t="s">
        <v>147</v>
      </c>
      <c r="F16" s="1" t="s">
        <v>148</v>
      </c>
      <c r="G16" s="1" t="s">
        <v>149</v>
      </c>
    </row>
    <row r="17" spans="1:7" x14ac:dyDescent="0.35">
      <c r="A17" s="1" t="s">
        <v>125</v>
      </c>
      <c r="B17" s="1" t="s">
        <v>126</v>
      </c>
      <c r="C17" s="1">
        <v>2003</v>
      </c>
      <c r="D17" s="1" t="s">
        <v>103</v>
      </c>
      <c r="E17" s="1" t="s">
        <v>147</v>
      </c>
      <c r="F17" s="1" t="s">
        <v>150</v>
      </c>
      <c r="G17" s="1" t="s">
        <v>98</v>
      </c>
    </row>
    <row r="18" spans="1:7" x14ac:dyDescent="0.35">
      <c r="A18" s="1" t="s">
        <v>125</v>
      </c>
      <c r="B18" s="1" t="s">
        <v>126</v>
      </c>
      <c r="C18" s="1">
        <v>2003</v>
      </c>
      <c r="D18" s="1" t="s">
        <v>103</v>
      </c>
      <c r="E18" s="1" t="s">
        <v>147</v>
      </c>
      <c r="F18" s="1" t="s">
        <v>151</v>
      </c>
      <c r="G18" s="1" t="s">
        <v>98</v>
      </c>
    </row>
    <row r="19" spans="1:7" x14ac:dyDescent="0.35">
      <c r="A19" s="1" t="s">
        <v>125</v>
      </c>
      <c r="B19" s="1" t="s">
        <v>126</v>
      </c>
      <c r="C19" s="1">
        <v>2003</v>
      </c>
      <c r="D19" s="1" t="s">
        <v>103</v>
      </c>
      <c r="E19" s="1" t="s">
        <v>147</v>
      </c>
      <c r="F19" s="1" t="s">
        <v>152</v>
      </c>
      <c r="G19" s="1" t="s">
        <v>98</v>
      </c>
    </row>
    <row r="20" spans="1:7" x14ac:dyDescent="0.35">
      <c r="A20" s="1" t="s">
        <v>125</v>
      </c>
      <c r="B20" s="1" t="s">
        <v>126</v>
      </c>
      <c r="C20" s="1">
        <v>2003</v>
      </c>
      <c r="D20" s="1" t="s">
        <v>103</v>
      </c>
      <c r="E20" s="1" t="s">
        <v>147</v>
      </c>
      <c r="F20" s="1" t="s">
        <v>153</v>
      </c>
      <c r="G20" s="1" t="s">
        <v>98</v>
      </c>
    </row>
    <row r="21" spans="1:7" x14ac:dyDescent="0.35">
      <c r="A21" s="1" t="s">
        <v>125</v>
      </c>
      <c r="B21" s="1" t="s">
        <v>126</v>
      </c>
      <c r="C21" s="1">
        <v>2003</v>
      </c>
      <c r="D21" s="1" t="s">
        <v>103</v>
      </c>
      <c r="E21" s="1" t="s">
        <v>147</v>
      </c>
      <c r="F21" s="1" t="s">
        <v>154</v>
      </c>
      <c r="G21" s="1" t="s">
        <v>98</v>
      </c>
    </row>
    <row r="22" spans="1:7" x14ac:dyDescent="0.35">
      <c r="A22" s="1" t="s">
        <v>125</v>
      </c>
      <c r="B22" s="1" t="s">
        <v>126</v>
      </c>
      <c r="C22" s="1">
        <v>2003</v>
      </c>
      <c r="D22" s="1" t="s">
        <v>103</v>
      </c>
      <c r="E22" s="1" t="s">
        <v>147</v>
      </c>
      <c r="F22" s="1" t="s">
        <v>155</v>
      </c>
      <c r="G22" s="1" t="s">
        <v>97</v>
      </c>
    </row>
    <row r="23" spans="1:7" x14ac:dyDescent="0.35">
      <c r="A23" s="1" t="s">
        <v>125</v>
      </c>
      <c r="B23" s="1" t="s">
        <v>126</v>
      </c>
      <c r="C23" s="1">
        <v>2007</v>
      </c>
      <c r="D23" s="1" t="s">
        <v>103</v>
      </c>
      <c r="E23" s="1" t="s">
        <v>147</v>
      </c>
      <c r="F23" s="1" t="s">
        <v>148</v>
      </c>
      <c r="G23" s="1" t="s">
        <v>149</v>
      </c>
    </row>
    <row r="24" spans="1:7" x14ac:dyDescent="0.35">
      <c r="A24" s="1" t="s">
        <v>125</v>
      </c>
      <c r="B24" s="1" t="s">
        <v>126</v>
      </c>
      <c r="C24" s="1">
        <v>2007</v>
      </c>
      <c r="D24" s="1" t="s">
        <v>103</v>
      </c>
      <c r="E24" s="1" t="s">
        <v>147</v>
      </c>
      <c r="F24" s="1" t="s">
        <v>150</v>
      </c>
      <c r="G24" s="1" t="s">
        <v>98</v>
      </c>
    </row>
    <row r="25" spans="1:7" x14ac:dyDescent="0.35">
      <c r="A25" s="1" t="s">
        <v>125</v>
      </c>
      <c r="B25" s="1" t="s">
        <v>126</v>
      </c>
      <c r="C25" s="1">
        <v>2007</v>
      </c>
      <c r="D25" s="1" t="s">
        <v>103</v>
      </c>
      <c r="E25" s="1" t="s">
        <v>147</v>
      </c>
      <c r="F25" s="1" t="s">
        <v>151</v>
      </c>
      <c r="G25" s="1" t="s">
        <v>98</v>
      </c>
    </row>
    <row r="26" spans="1:7" x14ac:dyDescent="0.35">
      <c r="A26" s="1" t="s">
        <v>125</v>
      </c>
      <c r="B26" s="1" t="s">
        <v>126</v>
      </c>
      <c r="C26" s="1">
        <v>2007</v>
      </c>
      <c r="D26" s="1" t="s">
        <v>103</v>
      </c>
      <c r="E26" s="1" t="s">
        <v>147</v>
      </c>
      <c r="F26" s="1" t="s">
        <v>152</v>
      </c>
      <c r="G26" s="1" t="s">
        <v>98</v>
      </c>
    </row>
    <row r="27" spans="1:7" x14ac:dyDescent="0.35">
      <c r="A27" s="1" t="s">
        <v>125</v>
      </c>
      <c r="B27" s="1" t="s">
        <v>126</v>
      </c>
      <c r="C27" s="1">
        <v>2007</v>
      </c>
      <c r="D27" s="1" t="s">
        <v>103</v>
      </c>
      <c r="E27" s="1" t="s">
        <v>147</v>
      </c>
      <c r="F27" s="1" t="s">
        <v>153</v>
      </c>
      <c r="G27" s="1" t="s">
        <v>98</v>
      </c>
    </row>
    <row r="28" spans="1:7" x14ac:dyDescent="0.35">
      <c r="A28" s="1" t="s">
        <v>125</v>
      </c>
      <c r="B28" s="1" t="s">
        <v>126</v>
      </c>
      <c r="C28" s="1">
        <v>2007</v>
      </c>
      <c r="D28" s="1" t="s">
        <v>103</v>
      </c>
      <c r="E28" s="1" t="s">
        <v>147</v>
      </c>
      <c r="F28" s="1" t="s">
        <v>154</v>
      </c>
      <c r="G28" s="1" t="s">
        <v>98</v>
      </c>
    </row>
    <row r="29" spans="1:7" x14ac:dyDescent="0.35">
      <c r="A29" s="1" t="s">
        <v>125</v>
      </c>
      <c r="B29" s="1" t="s">
        <v>126</v>
      </c>
      <c r="C29" s="1">
        <v>2007</v>
      </c>
      <c r="D29" s="1" t="s">
        <v>103</v>
      </c>
      <c r="E29" s="1" t="s">
        <v>147</v>
      </c>
      <c r="F29" s="1" t="s">
        <v>155</v>
      </c>
      <c r="G29" s="1" t="s">
        <v>97</v>
      </c>
    </row>
    <row r="30" spans="1:7" x14ac:dyDescent="0.35">
      <c r="A30" s="1" t="s">
        <v>125</v>
      </c>
      <c r="B30" s="1" t="s">
        <v>126</v>
      </c>
      <c r="C30" s="1">
        <v>2011</v>
      </c>
      <c r="D30" s="1" t="s">
        <v>103</v>
      </c>
      <c r="E30" s="1" t="s">
        <v>147</v>
      </c>
      <c r="F30" s="1" t="s">
        <v>148</v>
      </c>
      <c r="G30" s="1" t="s">
        <v>149</v>
      </c>
    </row>
    <row r="31" spans="1:7" x14ac:dyDescent="0.35">
      <c r="A31" s="1" t="s">
        <v>125</v>
      </c>
      <c r="B31" s="1" t="s">
        <v>126</v>
      </c>
      <c r="C31" s="1">
        <v>2011</v>
      </c>
      <c r="D31" s="1" t="s">
        <v>103</v>
      </c>
      <c r="E31" s="1" t="s">
        <v>147</v>
      </c>
      <c r="F31" s="1" t="s">
        <v>150</v>
      </c>
      <c r="G31" s="1" t="s">
        <v>98</v>
      </c>
    </row>
    <row r="32" spans="1:7" x14ac:dyDescent="0.35">
      <c r="A32" s="1" t="s">
        <v>125</v>
      </c>
      <c r="B32" s="1" t="s">
        <v>126</v>
      </c>
      <c r="C32" s="1">
        <v>2011</v>
      </c>
      <c r="D32" s="1" t="s">
        <v>103</v>
      </c>
      <c r="E32" s="1" t="s">
        <v>147</v>
      </c>
      <c r="F32" s="1" t="s">
        <v>151</v>
      </c>
      <c r="G32" s="1" t="s">
        <v>98</v>
      </c>
    </row>
    <row r="33" spans="1:7" x14ac:dyDescent="0.35">
      <c r="A33" s="1" t="s">
        <v>125</v>
      </c>
      <c r="B33" s="1" t="s">
        <v>126</v>
      </c>
      <c r="C33" s="1">
        <v>2011</v>
      </c>
      <c r="D33" s="1" t="s">
        <v>103</v>
      </c>
      <c r="E33" s="1" t="s">
        <v>147</v>
      </c>
      <c r="F33" s="1" t="s">
        <v>152</v>
      </c>
      <c r="G33" s="1" t="s">
        <v>98</v>
      </c>
    </row>
    <row r="34" spans="1:7" x14ac:dyDescent="0.35">
      <c r="A34" s="1" t="s">
        <v>125</v>
      </c>
      <c r="B34" s="1" t="s">
        <v>126</v>
      </c>
      <c r="C34" s="1">
        <v>2011</v>
      </c>
      <c r="D34" s="1" t="s">
        <v>103</v>
      </c>
      <c r="E34" s="1" t="s">
        <v>147</v>
      </c>
      <c r="F34" s="1" t="s">
        <v>153</v>
      </c>
      <c r="G34" s="1" t="s">
        <v>98</v>
      </c>
    </row>
    <row r="35" spans="1:7" x14ac:dyDescent="0.35">
      <c r="A35" s="1" t="s">
        <v>125</v>
      </c>
      <c r="B35" s="1" t="s">
        <v>126</v>
      </c>
      <c r="C35" s="1">
        <v>2011</v>
      </c>
      <c r="D35" s="1" t="s">
        <v>103</v>
      </c>
      <c r="E35" s="1" t="s">
        <v>147</v>
      </c>
      <c r="F35" s="1" t="s">
        <v>154</v>
      </c>
      <c r="G35" s="1" t="s">
        <v>98</v>
      </c>
    </row>
    <row r="36" spans="1:7" x14ac:dyDescent="0.35">
      <c r="A36" s="1" t="s">
        <v>125</v>
      </c>
      <c r="B36" s="1" t="s">
        <v>126</v>
      </c>
      <c r="C36" s="1">
        <v>2011</v>
      </c>
      <c r="D36" s="1" t="s">
        <v>103</v>
      </c>
      <c r="E36" s="1" t="s">
        <v>147</v>
      </c>
      <c r="F36" s="1" t="s">
        <v>155</v>
      </c>
      <c r="G36" s="1" t="s">
        <v>97</v>
      </c>
    </row>
    <row r="37" spans="1:7" x14ac:dyDescent="0.35">
      <c r="A37" s="1" t="s">
        <v>125</v>
      </c>
      <c r="B37" s="1" t="s">
        <v>126</v>
      </c>
      <c r="C37" s="1">
        <v>2015</v>
      </c>
      <c r="D37" s="1" t="s">
        <v>103</v>
      </c>
      <c r="E37" s="1" t="s">
        <v>147</v>
      </c>
      <c r="F37" s="1" t="s">
        <v>148</v>
      </c>
      <c r="G37" s="1" t="s">
        <v>149</v>
      </c>
    </row>
    <row r="38" spans="1:7" x14ac:dyDescent="0.35">
      <c r="A38" s="1" t="s">
        <v>125</v>
      </c>
      <c r="B38" s="1" t="s">
        <v>126</v>
      </c>
      <c r="C38" s="1">
        <v>2015</v>
      </c>
      <c r="D38" s="1" t="s">
        <v>103</v>
      </c>
      <c r="E38" s="1" t="s">
        <v>147</v>
      </c>
      <c r="F38" s="1" t="s">
        <v>150</v>
      </c>
      <c r="G38" s="1" t="s">
        <v>98</v>
      </c>
    </row>
    <row r="39" spans="1:7" x14ac:dyDescent="0.35">
      <c r="A39" s="1" t="s">
        <v>125</v>
      </c>
      <c r="B39" s="1" t="s">
        <v>126</v>
      </c>
      <c r="C39" s="1">
        <v>2015</v>
      </c>
      <c r="D39" s="1" t="s">
        <v>103</v>
      </c>
      <c r="E39" s="1" t="s">
        <v>147</v>
      </c>
      <c r="F39" s="1" t="s">
        <v>151</v>
      </c>
      <c r="G39" s="1" t="s">
        <v>98</v>
      </c>
    </row>
    <row r="40" spans="1:7" x14ac:dyDescent="0.35">
      <c r="A40" s="1" t="s">
        <v>125</v>
      </c>
      <c r="B40" s="1" t="s">
        <v>126</v>
      </c>
      <c r="C40" s="1">
        <v>2015</v>
      </c>
      <c r="D40" s="1" t="s">
        <v>103</v>
      </c>
      <c r="E40" s="1" t="s">
        <v>147</v>
      </c>
      <c r="F40" s="1" t="s">
        <v>152</v>
      </c>
      <c r="G40" s="1" t="s">
        <v>98</v>
      </c>
    </row>
    <row r="41" spans="1:7" x14ac:dyDescent="0.35">
      <c r="A41" s="1" t="s">
        <v>125</v>
      </c>
      <c r="B41" s="1" t="s">
        <v>126</v>
      </c>
      <c r="C41" s="1">
        <v>2015</v>
      </c>
      <c r="D41" s="1" t="s">
        <v>103</v>
      </c>
      <c r="E41" s="1" t="s">
        <v>147</v>
      </c>
      <c r="F41" s="1" t="s">
        <v>153</v>
      </c>
      <c r="G41" s="1" t="s">
        <v>98</v>
      </c>
    </row>
    <row r="42" spans="1:7" x14ac:dyDescent="0.35">
      <c r="A42" s="1" t="s">
        <v>125</v>
      </c>
      <c r="B42" s="1" t="s">
        <v>126</v>
      </c>
      <c r="C42" s="1">
        <v>2015</v>
      </c>
      <c r="D42" s="1" t="s">
        <v>103</v>
      </c>
      <c r="E42" s="1" t="s">
        <v>147</v>
      </c>
      <c r="F42" s="1" t="s">
        <v>154</v>
      </c>
      <c r="G42" s="1" t="s">
        <v>98</v>
      </c>
    </row>
    <row r="43" spans="1:7" x14ac:dyDescent="0.35">
      <c r="A43" s="1" t="s">
        <v>125</v>
      </c>
      <c r="B43" s="1" t="s">
        <v>126</v>
      </c>
      <c r="C43" s="1">
        <v>2015</v>
      </c>
      <c r="D43" s="1" t="s">
        <v>103</v>
      </c>
      <c r="E43" s="1" t="s">
        <v>147</v>
      </c>
      <c r="F43" s="1" t="s">
        <v>155</v>
      </c>
      <c r="G43" s="1" t="s"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"/>
  <sheetViews>
    <sheetView workbookViewId="0">
      <selection activeCell="G22" sqref="G22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1" x14ac:dyDescent="0.35">
      <c r="A1" s="2" t="s">
        <v>0</v>
      </c>
      <c r="B1" s="2" t="s">
        <v>1</v>
      </c>
      <c r="C1" s="2" t="s">
        <v>24</v>
      </c>
      <c r="D1" s="2" t="s">
        <v>400</v>
      </c>
      <c r="E1" s="2" t="s">
        <v>21</v>
      </c>
      <c r="F1" s="2" t="s">
        <v>401</v>
      </c>
      <c r="G1" s="2" t="s">
        <v>384</v>
      </c>
      <c r="H1" s="2" t="s">
        <v>402</v>
      </c>
      <c r="I1" s="2" t="s">
        <v>22</v>
      </c>
      <c r="J1" s="2" t="s">
        <v>23</v>
      </c>
      <c r="K1" s="2" t="s">
        <v>371</v>
      </c>
    </row>
    <row r="2" spans="1:11" x14ac:dyDescent="0.35">
      <c r="A2" s="1" t="s">
        <v>125</v>
      </c>
      <c r="B2" s="1" t="s">
        <v>126</v>
      </c>
      <c r="C2" s="1">
        <v>1997</v>
      </c>
      <c r="D2" s="1" t="s">
        <v>143</v>
      </c>
      <c r="G2" s="1" t="s">
        <v>146</v>
      </c>
      <c r="H2" s="1" t="s">
        <v>145</v>
      </c>
    </row>
    <row r="3" spans="1:11" x14ac:dyDescent="0.35">
      <c r="A3" s="1" t="s">
        <v>125</v>
      </c>
      <c r="B3" s="1" t="s">
        <v>126</v>
      </c>
      <c r="C3" s="1">
        <v>1997</v>
      </c>
      <c r="D3" s="1" t="s">
        <v>144</v>
      </c>
      <c r="G3" s="1" t="s">
        <v>146</v>
      </c>
      <c r="H3" s="1" t="s">
        <v>145</v>
      </c>
    </row>
    <row r="4" spans="1:11" x14ac:dyDescent="0.35">
      <c r="A4" s="1" t="s">
        <v>125</v>
      </c>
      <c r="B4" s="1" t="s">
        <v>126</v>
      </c>
      <c r="C4" s="1">
        <v>2002</v>
      </c>
      <c r="D4" s="1" t="s">
        <v>144</v>
      </c>
      <c r="G4" s="1" t="s">
        <v>146</v>
      </c>
      <c r="H4" s="1" t="s">
        <v>145</v>
      </c>
    </row>
    <row r="5" spans="1:11" x14ac:dyDescent="0.35">
      <c r="A5" s="1" t="s">
        <v>125</v>
      </c>
      <c r="B5" s="1" t="s">
        <v>126</v>
      </c>
      <c r="C5" s="1">
        <v>2003</v>
      </c>
      <c r="D5" s="1" t="s">
        <v>144</v>
      </c>
      <c r="G5" s="1" t="s">
        <v>146</v>
      </c>
      <c r="H5" s="1" t="s">
        <v>145</v>
      </c>
    </row>
    <row r="6" spans="1:11" x14ac:dyDescent="0.35">
      <c r="A6" s="1" t="s">
        <v>125</v>
      </c>
      <c r="B6" s="1" t="s">
        <v>126</v>
      </c>
      <c r="C6" s="1">
        <v>2007</v>
      </c>
      <c r="D6" s="1" t="s">
        <v>144</v>
      </c>
      <c r="G6" s="1" t="s">
        <v>146</v>
      </c>
      <c r="H6" s="1" t="s">
        <v>145</v>
      </c>
    </row>
    <row r="7" spans="1:11" x14ac:dyDescent="0.35">
      <c r="A7" s="1" t="s">
        <v>125</v>
      </c>
      <c r="B7" s="1" t="s">
        <v>126</v>
      </c>
      <c r="C7" s="1">
        <v>2011</v>
      </c>
      <c r="D7" s="1" t="s">
        <v>144</v>
      </c>
      <c r="G7" s="1" t="s">
        <v>146</v>
      </c>
      <c r="H7" s="1" t="s">
        <v>145</v>
      </c>
    </row>
    <row r="8" spans="1:11" x14ac:dyDescent="0.35">
      <c r="A8" s="1" t="s">
        <v>125</v>
      </c>
      <c r="B8" s="1" t="s">
        <v>126</v>
      </c>
      <c r="C8" s="1">
        <v>2015</v>
      </c>
      <c r="D8" s="1" t="s">
        <v>144</v>
      </c>
      <c r="G8" s="1" t="s">
        <v>146</v>
      </c>
      <c r="H8" s="1" t="s">
        <v>145</v>
      </c>
      <c r="K8" s="1" t="s">
        <v>355</v>
      </c>
    </row>
    <row r="9" spans="1:11" x14ac:dyDescent="0.35">
      <c r="A9" s="1" t="s">
        <v>125</v>
      </c>
      <c r="B9" s="1" t="s">
        <v>126</v>
      </c>
      <c r="C9" s="1">
        <v>2015</v>
      </c>
      <c r="D9" s="1" t="s">
        <v>208</v>
      </c>
      <c r="G9" s="1" t="s">
        <v>146</v>
      </c>
      <c r="H9" s="1" t="s">
        <v>145</v>
      </c>
      <c r="K9" s="1" t="s">
        <v>356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"/>
  <sheetViews>
    <sheetView workbookViewId="0">
      <selection sqref="A1:L1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2" x14ac:dyDescent="0.35">
      <c r="A1" s="2" t="s">
        <v>0</v>
      </c>
      <c r="B1" s="2" t="s">
        <v>27</v>
      </c>
      <c r="C1" s="2" t="s">
        <v>1</v>
      </c>
      <c r="D1" s="4" t="s">
        <v>26</v>
      </c>
      <c r="E1" s="4" t="s">
        <v>403</v>
      </c>
      <c r="F1" s="4" t="s">
        <v>404</v>
      </c>
      <c r="G1" s="4" t="s">
        <v>28</v>
      </c>
      <c r="H1" s="4" t="s">
        <v>405</v>
      </c>
      <c r="I1" s="4" t="s">
        <v>406</v>
      </c>
      <c r="J1" s="4" t="s">
        <v>29</v>
      </c>
      <c r="K1" s="4" t="s">
        <v>30</v>
      </c>
      <c r="L1" s="4" t="s">
        <v>371</v>
      </c>
    </row>
    <row r="2" spans="1:12" x14ac:dyDescent="0.35">
      <c r="A2" s="1" t="s">
        <v>125</v>
      </c>
      <c r="B2" s="1" t="s">
        <v>126</v>
      </c>
      <c r="C2" s="1">
        <v>1997</v>
      </c>
      <c r="D2" s="1" t="s">
        <v>141</v>
      </c>
      <c r="E2" s="1" t="s">
        <v>142</v>
      </c>
      <c r="F2" s="1" t="s">
        <v>99</v>
      </c>
      <c r="G2" s="1">
        <v>1926</v>
      </c>
      <c r="L2" s="1" t="s">
        <v>236</v>
      </c>
    </row>
    <row r="3" spans="1:12" x14ac:dyDescent="0.35">
      <c r="A3" s="1" t="s">
        <v>125</v>
      </c>
      <c r="B3" s="1" t="s">
        <v>126</v>
      </c>
      <c r="C3" s="1">
        <v>2002</v>
      </c>
      <c r="D3" s="1" t="s">
        <v>141</v>
      </c>
      <c r="E3" s="1" t="s">
        <v>142</v>
      </c>
      <c r="F3" s="1" t="s">
        <v>99</v>
      </c>
      <c r="G3" s="1">
        <v>1926</v>
      </c>
      <c r="L3" s="1" t="s">
        <v>236</v>
      </c>
    </row>
    <row r="4" spans="1:12" x14ac:dyDescent="0.35">
      <c r="A4" s="1" t="s">
        <v>125</v>
      </c>
      <c r="B4" s="1" t="s">
        <v>126</v>
      </c>
      <c r="C4" s="1">
        <v>2003</v>
      </c>
      <c r="D4" s="1" t="s">
        <v>141</v>
      </c>
      <c r="E4" s="1" t="s">
        <v>142</v>
      </c>
      <c r="F4" s="1" t="s">
        <v>99</v>
      </c>
      <c r="G4" s="1">
        <v>1926</v>
      </c>
      <c r="L4" s="1" t="s">
        <v>236</v>
      </c>
    </row>
    <row r="5" spans="1:12" x14ac:dyDescent="0.35">
      <c r="A5" s="1" t="s">
        <v>125</v>
      </c>
      <c r="B5" s="1" t="s">
        <v>126</v>
      </c>
      <c r="C5" s="1">
        <v>2007</v>
      </c>
      <c r="D5" s="1" t="s">
        <v>141</v>
      </c>
      <c r="E5" s="1" t="s">
        <v>142</v>
      </c>
      <c r="F5" s="1" t="s">
        <v>99</v>
      </c>
      <c r="G5" s="1">
        <v>1926</v>
      </c>
      <c r="L5" s="1" t="s">
        <v>236</v>
      </c>
    </row>
    <row r="6" spans="1:12" x14ac:dyDescent="0.35">
      <c r="A6" s="1" t="s">
        <v>125</v>
      </c>
      <c r="B6" s="1" t="s">
        <v>126</v>
      </c>
      <c r="C6" s="1">
        <v>2011</v>
      </c>
      <c r="D6" s="1" t="s">
        <v>141</v>
      </c>
      <c r="E6" s="1" t="s">
        <v>142</v>
      </c>
      <c r="F6" s="1" t="s">
        <v>99</v>
      </c>
      <c r="G6" s="1">
        <v>1926</v>
      </c>
      <c r="L6" s="1" t="s">
        <v>236</v>
      </c>
    </row>
    <row r="7" spans="1:12" x14ac:dyDescent="0.35">
      <c r="A7" s="1" t="s">
        <v>125</v>
      </c>
      <c r="B7" s="1" t="s">
        <v>126</v>
      </c>
      <c r="C7" s="1">
        <v>2015</v>
      </c>
      <c r="D7" s="1" t="s">
        <v>141</v>
      </c>
      <c r="E7" s="1" t="s">
        <v>142</v>
      </c>
      <c r="F7" s="1" t="s">
        <v>99</v>
      </c>
      <c r="G7" s="1">
        <v>1926</v>
      </c>
      <c r="L7" s="1" t="s">
        <v>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9"/>
  <sheetViews>
    <sheetView tabSelected="1" topLeftCell="C1" workbookViewId="0">
      <selection activeCell="F16" sqref="F16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13.1796875" style="1" customWidth="1"/>
    <col min="5" max="5" width="9.7265625" style="1" customWidth="1"/>
    <col min="6" max="8" width="8.90625" style="1"/>
    <col min="9" max="9" width="14.26953125" style="1" customWidth="1"/>
    <col min="10" max="16384" width="8.90625" style="1"/>
  </cols>
  <sheetData>
    <row r="1" spans="1:10" x14ac:dyDescent="0.35">
      <c r="A1" s="49" t="s">
        <v>0</v>
      </c>
      <c r="B1" s="49" t="s">
        <v>27</v>
      </c>
      <c r="C1" s="49" t="s">
        <v>1</v>
      </c>
      <c r="D1" s="49" t="s">
        <v>24</v>
      </c>
      <c r="E1" s="50" t="s">
        <v>408</v>
      </c>
      <c r="F1" s="50" t="s">
        <v>80</v>
      </c>
      <c r="G1" s="49" t="s">
        <v>407</v>
      </c>
      <c r="H1" s="50" t="s">
        <v>385</v>
      </c>
      <c r="I1" s="50" t="s">
        <v>25</v>
      </c>
      <c r="J1" s="50" t="s">
        <v>371</v>
      </c>
    </row>
    <row r="2" spans="1:10" hidden="1" x14ac:dyDescent="0.35">
      <c r="A2" s="51" t="s">
        <v>125</v>
      </c>
      <c r="B2" s="51" t="s">
        <v>126</v>
      </c>
      <c r="C2" s="51">
        <v>1997</v>
      </c>
      <c r="D2" s="51" t="s">
        <v>103</v>
      </c>
      <c r="E2" s="51" t="s">
        <v>31</v>
      </c>
      <c r="F2" s="51" t="s">
        <v>61</v>
      </c>
      <c r="G2" s="51" t="s">
        <v>85</v>
      </c>
      <c r="H2" s="51">
        <v>1997</v>
      </c>
      <c r="I2" s="51">
        <v>25672</v>
      </c>
      <c r="J2" s="51"/>
    </row>
    <row r="3" spans="1:10" hidden="1" x14ac:dyDescent="0.35">
      <c r="A3" s="51" t="s">
        <v>125</v>
      </c>
      <c r="B3" s="51" t="s">
        <v>126</v>
      </c>
      <c r="C3" s="51">
        <v>1997</v>
      </c>
      <c r="D3" s="51" t="s">
        <v>103</v>
      </c>
      <c r="E3" s="51" t="s">
        <v>31</v>
      </c>
      <c r="F3" s="51" t="s">
        <v>62</v>
      </c>
      <c r="G3" s="51" t="s">
        <v>85</v>
      </c>
      <c r="H3" s="51">
        <v>1997</v>
      </c>
      <c r="I3" s="51">
        <v>2204</v>
      </c>
      <c r="J3" s="51"/>
    </row>
    <row r="4" spans="1:10" x14ac:dyDescent="0.35">
      <c r="A4" s="51" t="s">
        <v>125</v>
      </c>
      <c r="B4" s="51" t="s">
        <v>126</v>
      </c>
      <c r="C4" s="51">
        <v>1997</v>
      </c>
      <c r="D4" s="51" t="s">
        <v>103</v>
      </c>
      <c r="E4" s="51" t="s">
        <v>31</v>
      </c>
      <c r="F4" s="51" t="s">
        <v>63</v>
      </c>
      <c r="G4" s="51" t="s">
        <v>85</v>
      </c>
      <c r="H4" s="51">
        <v>1997</v>
      </c>
      <c r="I4" s="51">
        <v>184</v>
      </c>
      <c r="J4" s="51"/>
    </row>
    <row r="5" spans="1:10" hidden="1" x14ac:dyDescent="0.35">
      <c r="A5" s="51" t="s">
        <v>125</v>
      </c>
      <c r="B5" s="51" t="s">
        <v>126</v>
      </c>
      <c r="C5" s="51">
        <v>1997</v>
      </c>
      <c r="D5" s="51" t="s">
        <v>103</v>
      </c>
      <c r="E5" s="51" t="s">
        <v>31</v>
      </c>
      <c r="F5" s="51" t="s">
        <v>106</v>
      </c>
      <c r="G5" s="51" t="s">
        <v>85</v>
      </c>
      <c r="H5" s="51">
        <v>1997</v>
      </c>
      <c r="I5" s="51">
        <v>154</v>
      </c>
      <c r="J5" s="51"/>
    </row>
    <row r="6" spans="1:10" hidden="1" x14ac:dyDescent="0.35">
      <c r="A6" s="51" t="s">
        <v>125</v>
      </c>
      <c r="B6" s="51" t="s">
        <v>126</v>
      </c>
      <c r="C6" s="51">
        <v>1997</v>
      </c>
      <c r="D6" s="51" t="s">
        <v>103</v>
      </c>
      <c r="E6" s="51" t="s">
        <v>31</v>
      </c>
      <c r="F6" s="51" t="s">
        <v>160</v>
      </c>
      <c r="G6" s="51" t="s">
        <v>85</v>
      </c>
      <c r="H6" s="51">
        <v>1997</v>
      </c>
      <c r="I6" s="51">
        <v>15</v>
      </c>
      <c r="J6" s="51"/>
    </row>
    <row r="7" spans="1:10" hidden="1" x14ac:dyDescent="0.35">
      <c r="A7" s="51" t="s">
        <v>125</v>
      </c>
      <c r="B7" s="51" t="s">
        <v>126</v>
      </c>
      <c r="C7" s="51">
        <v>1997</v>
      </c>
      <c r="D7" s="51" t="s">
        <v>103</v>
      </c>
      <c r="E7" s="51" t="s">
        <v>31</v>
      </c>
      <c r="F7" s="51" t="s">
        <v>159</v>
      </c>
      <c r="G7" s="51" t="s">
        <v>85</v>
      </c>
      <c r="H7" s="51">
        <v>1997</v>
      </c>
      <c r="I7" s="51">
        <v>310</v>
      </c>
      <c r="J7" s="51"/>
    </row>
    <row r="8" spans="1:10" hidden="1" x14ac:dyDescent="0.35">
      <c r="A8" s="51" t="s">
        <v>125</v>
      </c>
      <c r="B8" s="51" t="s">
        <v>126</v>
      </c>
      <c r="C8" s="51">
        <v>2002</v>
      </c>
      <c r="D8" s="51" t="s">
        <v>103</v>
      </c>
      <c r="E8" s="51" t="s">
        <v>31</v>
      </c>
      <c r="F8" s="51" t="s">
        <v>61</v>
      </c>
      <c r="G8" s="51" t="s">
        <v>85</v>
      </c>
      <c r="H8" s="51">
        <v>2002</v>
      </c>
      <c r="I8" s="51">
        <v>25488</v>
      </c>
      <c r="J8" s="51"/>
    </row>
    <row r="9" spans="1:10" hidden="1" x14ac:dyDescent="0.35">
      <c r="A9" s="51" t="s">
        <v>125</v>
      </c>
      <c r="B9" s="51" t="s">
        <v>126</v>
      </c>
      <c r="C9" s="51">
        <v>2002</v>
      </c>
      <c r="D9" s="51" t="s">
        <v>103</v>
      </c>
      <c r="E9" s="51" t="s">
        <v>31</v>
      </c>
      <c r="F9" s="51" t="s">
        <v>62</v>
      </c>
      <c r="G9" s="51" t="s">
        <v>85</v>
      </c>
      <c r="H9" s="51">
        <v>2002</v>
      </c>
      <c r="I9" s="51">
        <v>2207</v>
      </c>
      <c r="J9" s="51"/>
    </row>
    <row r="10" spans="1:10" x14ac:dyDescent="0.35">
      <c r="A10" s="51" t="s">
        <v>125</v>
      </c>
      <c r="B10" s="51" t="s">
        <v>126</v>
      </c>
      <c r="C10" s="51">
        <v>2002</v>
      </c>
      <c r="D10" s="51" t="s">
        <v>103</v>
      </c>
      <c r="E10" s="51" t="s">
        <v>31</v>
      </c>
      <c r="F10" s="51" t="s">
        <v>63</v>
      </c>
      <c r="G10" s="51" t="s">
        <v>85</v>
      </c>
      <c r="H10" s="51">
        <v>2002</v>
      </c>
      <c r="I10" s="51">
        <v>173</v>
      </c>
      <c r="J10" s="51"/>
    </row>
    <row r="11" spans="1:10" hidden="1" x14ac:dyDescent="0.35">
      <c r="A11" s="51" t="s">
        <v>125</v>
      </c>
      <c r="B11" s="51" t="s">
        <v>126</v>
      </c>
      <c r="C11" s="51">
        <v>2002</v>
      </c>
      <c r="D11" s="51" t="s">
        <v>103</v>
      </c>
      <c r="E11" s="51" t="s">
        <v>31</v>
      </c>
      <c r="F11" s="51" t="s">
        <v>106</v>
      </c>
      <c r="G11" s="51" t="s">
        <v>85</v>
      </c>
      <c r="H11" s="51">
        <v>2002</v>
      </c>
      <c r="I11" s="51">
        <v>166</v>
      </c>
      <c r="J11" s="51"/>
    </row>
    <row r="12" spans="1:10" hidden="1" x14ac:dyDescent="0.35">
      <c r="A12" s="51" t="s">
        <v>125</v>
      </c>
      <c r="B12" s="51" t="s">
        <v>126</v>
      </c>
      <c r="C12" s="51">
        <v>2002</v>
      </c>
      <c r="D12" s="51" t="s">
        <v>103</v>
      </c>
      <c r="E12" s="51" t="s">
        <v>31</v>
      </c>
      <c r="F12" s="51" t="s">
        <v>160</v>
      </c>
      <c r="G12" s="51" t="s">
        <v>85</v>
      </c>
      <c r="H12" s="51">
        <v>2002</v>
      </c>
      <c r="I12" s="51">
        <v>14</v>
      </c>
      <c r="J12" s="51"/>
    </row>
    <row r="13" spans="1:10" hidden="1" x14ac:dyDescent="0.35">
      <c r="A13" s="51" t="s">
        <v>125</v>
      </c>
      <c r="B13" s="51" t="s">
        <v>126</v>
      </c>
      <c r="C13" s="51">
        <v>2002</v>
      </c>
      <c r="D13" s="51" t="s">
        <v>103</v>
      </c>
      <c r="E13" s="51" t="s">
        <v>31</v>
      </c>
      <c r="F13" s="51" t="s">
        <v>159</v>
      </c>
      <c r="G13" s="51" t="s">
        <v>85</v>
      </c>
      <c r="H13" s="51">
        <v>2002</v>
      </c>
      <c r="I13" s="51">
        <v>349</v>
      </c>
      <c r="J13" s="51"/>
    </row>
    <row r="14" spans="1:10" hidden="1" x14ac:dyDescent="0.35">
      <c r="A14" s="51" t="s">
        <v>125</v>
      </c>
      <c r="B14" s="51" t="s">
        <v>126</v>
      </c>
      <c r="C14" s="51">
        <v>2003</v>
      </c>
      <c r="D14" s="51" t="s">
        <v>103</v>
      </c>
      <c r="E14" s="51" t="s">
        <v>31</v>
      </c>
      <c r="F14" s="51" t="s">
        <v>61</v>
      </c>
      <c r="G14" s="51" t="s">
        <v>85</v>
      </c>
      <c r="H14" s="51">
        <v>2003</v>
      </c>
      <c r="I14" s="51">
        <v>25481</v>
      </c>
      <c r="J14" s="51"/>
    </row>
    <row r="15" spans="1:10" hidden="1" x14ac:dyDescent="0.35">
      <c r="A15" s="51" t="s">
        <v>125</v>
      </c>
      <c r="B15" s="51" t="s">
        <v>126</v>
      </c>
      <c r="C15" s="51">
        <v>2003</v>
      </c>
      <c r="D15" s="51" t="s">
        <v>103</v>
      </c>
      <c r="E15" s="51" t="s">
        <v>31</v>
      </c>
      <c r="F15" s="51" t="s">
        <v>62</v>
      </c>
      <c r="G15" s="51" t="s">
        <v>85</v>
      </c>
      <c r="H15" s="51">
        <v>2003</v>
      </c>
      <c r="I15" s="51">
        <v>2202</v>
      </c>
      <c r="J15" s="51"/>
    </row>
    <row r="16" spans="1:10" x14ac:dyDescent="0.35">
      <c r="A16" s="51" t="s">
        <v>125</v>
      </c>
      <c r="B16" s="51" t="s">
        <v>126</v>
      </c>
      <c r="C16" s="51">
        <v>2003</v>
      </c>
      <c r="D16" s="51" t="s">
        <v>103</v>
      </c>
      <c r="E16" s="51" t="s">
        <v>31</v>
      </c>
      <c r="F16" s="51" t="s">
        <v>63</v>
      </c>
      <c r="G16" s="51" t="s">
        <v>85</v>
      </c>
      <c r="H16" s="51">
        <v>2003</v>
      </c>
      <c r="I16" s="51">
        <v>172</v>
      </c>
      <c r="J16" s="51"/>
    </row>
    <row r="17" spans="1:10" hidden="1" x14ac:dyDescent="0.35">
      <c r="A17" s="51" t="s">
        <v>125</v>
      </c>
      <c r="B17" s="51" t="s">
        <v>126</v>
      </c>
      <c r="C17" s="51">
        <v>2003</v>
      </c>
      <c r="D17" s="51" t="s">
        <v>103</v>
      </c>
      <c r="E17" s="51" t="s">
        <v>31</v>
      </c>
      <c r="F17" s="51" t="s">
        <v>106</v>
      </c>
      <c r="G17" s="51" t="s">
        <v>85</v>
      </c>
      <c r="H17" s="51">
        <v>2003</v>
      </c>
      <c r="I17" s="51">
        <v>170</v>
      </c>
      <c r="J17" s="51"/>
    </row>
    <row r="18" spans="1:10" hidden="1" x14ac:dyDescent="0.35">
      <c r="A18" s="51" t="s">
        <v>125</v>
      </c>
      <c r="B18" s="51" t="s">
        <v>126</v>
      </c>
      <c r="C18" s="51">
        <v>2003</v>
      </c>
      <c r="D18" s="51" t="s">
        <v>103</v>
      </c>
      <c r="E18" s="51" t="s">
        <v>31</v>
      </c>
      <c r="F18" s="51" t="s">
        <v>160</v>
      </c>
      <c r="G18" s="51" t="s">
        <v>85</v>
      </c>
      <c r="H18" s="51">
        <v>2003</v>
      </c>
      <c r="I18" s="51">
        <v>14</v>
      </c>
      <c r="J18" s="51"/>
    </row>
    <row r="19" spans="1:10" hidden="1" x14ac:dyDescent="0.35">
      <c r="A19" s="51" t="s">
        <v>125</v>
      </c>
      <c r="B19" s="51" t="s">
        <v>126</v>
      </c>
      <c r="C19" s="51">
        <v>2003</v>
      </c>
      <c r="D19" s="51" t="s">
        <v>103</v>
      </c>
      <c r="E19" s="51" t="s">
        <v>31</v>
      </c>
      <c r="F19" s="51" t="s">
        <v>159</v>
      </c>
      <c r="G19" s="51" t="s">
        <v>85</v>
      </c>
      <c r="H19" s="51">
        <v>2003</v>
      </c>
      <c r="I19" s="51">
        <v>351</v>
      </c>
      <c r="J19" s="51"/>
    </row>
    <row r="20" spans="1:10" x14ac:dyDescent="0.35">
      <c r="A20" s="51" t="s">
        <v>125</v>
      </c>
      <c r="B20" s="51" t="s">
        <v>126</v>
      </c>
      <c r="C20" s="51">
        <v>1997</v>
      </c>
      <c r="D20" s="51" t="s">
        <v>103</v>
      </c>
      <c r="E20" s="51" t="s">
        <v>31</v>
      </c>
      <c r="F20" s="51" t="s">
        <v>102</v>
      </c>
      <c r="G20" s="51" t="s">
        <v>85</v>
      </c>
      <c r="H20" s="51">
        <v>1997</v>
      </c>
      <c r="I20" s="51">
        <v>28539</v>
      </c>
      <c r="J20" s="51"/>
    </row>
    <row r="21" spans="1:10" x14ac:dyDescent="0.35">
      <c r="A21" s="51" t="s">
        <v>125</v>
      </c>
      <c r="B21" s="51" t="s">
        <v>126</v>
      </c>
      <c r="C21" s="51">
        <v>2002</v>
      </c>
      <c r="D21" s="51" t="s">
        <v>103</v>
      </c>
      <c r="E21" s="51" t="s">
        <v>31</v>
      </c>
      <c r="F21" s="51" t="s">
        <v>102</v>
      </c>
      <c r="G21" s="51" t="s">
        <v>85</v>
      </c>
      <c r="H21" s="51">
        <v>2002</v>
      </c>
      <c r="I21" s="51">
        <v>28397</v>
      </c>
      <c r="J21" s="51"/>
    </row>
    <row r="22" spans="1:10" x14ac:dyDescent="0.35">
      <c r="A22" s="51" t="s">
        <v>125</v>
      </c>
      <c r="B22" s="51" t="s">
        <v>126</v>
      </c>
      <c r="C22" s="51">
        <v>2003</v>
      </c>
      <c r="D22" s="51" t="s">
        <v>103</v>
      </c>
      <c r="E22" s="51" t="s">
        <v>31</v>
      </c>
      <c r="F22" s="51" t="s">
        <v>102</v>
      </c>
      <c r="G22" s="51" t="s">
        <v>85</v>
      </c>
      <c r="H22" s="51">
        <v>2003</v>
      </c>
      <c r="I22" s="51">
        <v>28390</v>
      </c>
      <c r="J22" s="51"/>
    </row>
    <row r="23" spans="1:10" x14ac:dyDescent="0.35">
      <c r="A23" s="51" t="s">
        <v>125</v>
      </c>
      <c r="B23" s="51" t="s">
        <v>126</v>
      </c>
      <c r="C23" s="51">
        <v>2007</v>
      </c>
      <c r="D23" s="51" t="s">
        <v>103</v>
      </c>
      <c r="E23" s="51" t="s">
        <v>31</v>
      </c>
      <c r="F23" s="51" t="s">
        <v>102</v>
      </c>
      <c r="G23" s="51" t="s">
        <v>85</v>
      </c>
      <c r="H23" s="51">
        <v>2006</v>
      </c>
      <c r="I23" s="51">
        <v>30189</v>
      </c>
      <c r="J23" s="51"/>
    </row>
    <row r="24" spans="1:10" x14ac:dyDescent="0.35">
      <c r="A24" s="51" t="s">
        <v>125</v>
      </c>
      <c r="B24" s="51" t="s">
        <v>126</v>
      </c>
      <c r="C24" s="51">
        <v>2011</v>
      </c>
      <c r="D24" s="51" t="s">
        <v>103</v>
      </c>
      <c r="E24" s="51" t="s">
        <v>31</v>
      </c>
      <c r="F24" s="51" t="s">
        <v>102</v>
      </c>
      <c r="G24" s="51" t="s">
        <v>85</v>
      </c>
      <c r="H24" s="51">
        <v>2010</v>
      </c>
      <c r="I24" s="51">
        <v>30250</v>
      </c>
      <c r="J24" s="51"/>
    </row>
    <row r="25" spans="1:10" x14ac:dyDescent="0.35">
      <c r="A25" s="51" t="s">
        <v>125</v>
      </c>
      <c r="B25" s="51" t="s">
        <v>126</v>
      </c>
      <c r="C25" s="51" t="s">
        <v>85</v>
      </c>
      <c r="D25" s="51" t="s">
        <v>103</v>
      </c>
      <c r="E25" s="51" t="s">
        <v>31</v>
      </c>
      <c r="F25" s="51" t="s">
        <v>102</v>
      </c>
      <c r="G25" s="51" t="s">
        <v>85</v>
      </c>
      <c r="H25" s="51">
        <v>2014</v>
      </c>
      <c r="I25" s="51">
        <v>30250</v>
      </c>
      <c r="J25" s="51"/>
    </row>
    <row r="26" spans="1:10" x14ac:dyDescent="0.35">
      <c r="A26" s="51" t="s">
        <v>125</v>
      </c>
      <c r="B26" s="51" t="s">
        <v>126</v>
      </c>
      <c r="C26" s="51" t="s">
        <v>85</v>
      </c>
      <c r="D26" s="51" t="s">
        <v>103</v>
      </c>
      <c r="E26" s="51" t="s">
        <v>31</v>
      </c>
      <c r="F26" s="51" t="s">
        <v>102</v>
      </c>
      <c r="G26" s="51" t="s">
        <v>85</v>
      </c>
      <c r="H26" s="51">
        <v>2015</v>
      </c>
      <c r="I26" s="51">
        <v>30250</v>
      </c>
      <c r="J26" s="51"/>
    </row>
    <row r="27" spans="1:10" x14ac:dyDescent="0.35">
      <c r="A27" s="51" t="s">
        <v>125</v>
      </c>
      <c r="B27" s="51" t="s">
        <v>126</v>
      </c>
      <c r="C27" s="51" t="s">
        <v>85</v>
      </c>
      <c r="D27" s="51" t="s">
        <v>103</v>
      </c>
      <c r="E27" s="51" t="s">
        <v>31</v>
      </c>
      <c r="F27" s="51" t="s">
        <v>102</v>
      </c>
      <c r="G27" s="51" t="s">
        <v>85</v>
      </c>
      <c r="H27" s="51">
        <v>2016</v>
      </c>
      <c r="I27" s="51">
        <v>28171</v>
      </c>
      <c r="J27" s="51"/>
    </row>
    <row r="28" spans="1:10" x14ac:dyDescent="0.35">
      <c r="A28" s="51" t="s">
        <v>125</v>
      </c>
      <c r="B28" s="51" t="s">
        <v>126</v>
      </c>
      <c r="C28" s="51" t="s">
        <v>85</v>
      </c>
      <c r="D28" s="51" t="s">
        <v>103</v>
      </c>
      <c r="E28" s="51" t="s">
        <v>31</v>
      </c>
      <c r="F28" s="51" t="s">
        <v>102</v>
      </c>
      <c r="G28" s="51" t="s">
        <v>85</v>
      </c>
      <c r="H28" s="51">
        <v>2017</v>
      </c>
      <c r="I28" s="51">
        <v>28171</v>
      </c>
      <c r="J28" s="51"/>
    </row>
    <row r="29" spans="1:10" x14ac:dyDescent="0.35">
      <c r="A29" s="51" t="s">
        <v>125</v>
      </c>
      <c r="B29" s="51" t="s">
        <v>126</v>
      </c>
      <c r="C29" s="51" t="s">
        <v>85</v>
      </c>
      <c r="D29" s="51" t="s">
        <v>103</v>
      </c>
      <c r="E29" s="51" t="s">
        <v>31</v>
      </c>
      <c r="F29" s="51" t="s">
        <v>102</v>
      </c>
      <c r="G29" s="51" t="s">
        <v>85</v>
      </c>
      <c r="H29" s="51">
        <v>2018</v>
      </c>
      <c r="I29" s="51">
        <v>28171</v>
      </c>
      <c r="J29" s="5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1"/>
  <sheetViews>
    <sheetView workbookViewId="0">
      <selection sqref="A1:K1"/>
    </sheetView>
  </sheetViews>
  <sheetFormatPr defaultColWidth="8.90625" defaultRowHeight="14.5" x14ac:dyDescent="0.35"/>
  <cols>
    <col min="1" max="1" width="10.08984375" style="1" bestFit="1" customWidth="1"/>
    <col min="2" max="9" width="8.90625" style="1"/>
    <col min="10" max="10" width="11" style="1" bestFit="1" customWidth="1"/>
    <col min="11" max="16384" width="8.90625" style="1"/>
  </cols>
  <sheetData>
    <row r="1" spans="1:11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408</v>
      </c>
      <c r="F1" s="2" t="s">
        <v>409</v>
      </c>
      <c r="G1" s="2" t="s">
        <v>80</v>
      </c>
      <c r="H1" s="2" t="s">
        <v>385</v>
      </c>
      <c r="I1" s="2" t="s">
        <v>410</v>
      </c>
      <c r="J1" s="4" t="s">
        <v>411</v>
      </c>
      <c r="K1" s="4" t="s">
        <v>371</v>
      </c>
    </row>
    <row r="2" spans="1:11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107</v>
      </c>
      <c r="F2" s="1" t="s">
        <v>412</v>
      </c>
      <c r="G2" s="1" t="s">
        <v>61</v>
      </c>
      <c r="H2" s="1">
        <v>1997</v>
      </c>
      <c r="I2" s="1">
        <v>4.3899999999999997</v>
      </c>
      <c r="K2" s="1" t="s">
        <v>161</v>
      </c>
    </row>
    <row r="3" spans="1:11" x14ac:dyDescent="0.35">
      <c r="A3" s="1" t="s">
        <v>125</v>
      </c>
      <c r="B3" s="1" t="s">
        <v>126</v>
      </c>
      <c r="C3" s="1">
        <v>2002</v>
      </c>
      <c r="D3" s="1" t="s">
        <v>103</v>
      </c>
      <c r="E3" s="1" t="s">
        <v>107</v>
      </c>
      <c r="F3" s="1" t="s">
        <v>412</v>
      </c>
      <c r="G3" s="1" t="s">
        <v>62</v>
      </c>
      <c r="H3" s="1">
        <v>1997</v>
      </c>
      <c r="I3" s="1">
        <v>2.58</v>
      </c>
      <c r="K3" s="1" t="s">
        <v>161</v>
      </c>
    </row>
    <row r="4" spans="1:11" x14ac:dyDescent="0.35">
      <c r="A4" s="1" t="s">
        <v>125</v>
      </c>
      <c r="B4" s="1" t="s">
        <v>126</v>
      </c>
      <c r="C4" s="1">
        <v>1997</v>
      </c>
      <c r="D4" s="1" t="s">
        <v>103</v>
      </c>
      <c r="E4" s="1" t="s">
        <v>107</v>
      </c>
      <c r="F4" s="1" t="s">
        <v>412</v>
      </c>
      <c r="G4" s="1" t="s">
        <v>63</v>
      </c>
      <c r="H4" s="1">
        <v>1997</v>
      </c>
      <c r="I4" s="1">
        <v>3.57</v>
      </c>
      <c r="K4" s="1" t="s">
        <v>161</v>
      </c>
    </row>
    <row r="5" spans="1:11" x14ac:dyDescent="0.35">
      <c r="A5" s="1" t="s">
        <v>125</v>
      </c>
      <c r="B5" s="1" t="s">
        <v>126</v>
      </c>
      <c r="C5" s="1">
        <v>1997</v>
      </c>
      <c r="D5" s="1" t="s">
        <v>103</v>
      </c>
      <c r="E5" s="1" t="s">
        <v>107</v>
      </c>
      <c r="F5" s="1" t="s">
        <v>412</v>
      </c>
      <c r="G5" s="1" t="s">
        <v>106</v>
      </c>
      <c r="H5" s="1">
        <v>1997</v>
      </c>
      <c r="I5" s="1">
        <v>1.17</v>
      </c>
      <c r="K5" s="1" t="s">
        <v>161</v>
      </c>
    </row>
    <row r="6" spans="1:11" x14ac:dyDescent="0.35">
      <c r="A6" s="1" t="s">
        <v>125</v>
      </c>
      <c r="B6" s="1" t="s">
        <v>126</v>
      </c>
      <c r="C6" s="1">
        <v>1997</v>
      </c>
      <c r="D6" s="1" t="s">
        <v>103</v>
      </c>
      <c r="E6" s="1" t="s">
        <v>107</v>
      </c>
      <c r="F6" s="1" t="s">
        <v>412</v>
      </c>
      <c r="G6" s="1" t="s">
        <v>160</v>
      </c>
      <c r="H6" s="1">
        <v>1997</v>
      </c>
      <c r="I6" s="1">
        <v>0.62</v>
      </c>
      <c r="K6" s="1" t="s">
        <v>161</v>
      </c>
    </row>
    <row r="7" spans="1:11" x14ac:dyDescent="0.35">
      <c r="A7" s="1" t="s">
        <v>125</v>
      </c>
      <c r="B7" s="1" t="s">
        <v>126</v>
      </c>
      <c r="C7" s="1">
        <v>1997</v>
      </c>
      <c r="D7" s="1" t="s">
        <v>103</v>
      </c>
      <c r="E7" s="1" t="s">
        <v>107</v>
      </c>
      <c r="F7" s="1" t="s">
        <v>412</v>
      </c>
      <c r="G7" s="1" t="s">
        <v>159</v>
      </c>
      <c r="H7" s="1">
        <v>1997</v>
      </c>
      <c r="I7" s="1">
        <v>0.02</v>
      </c>
      <c r="K7" s="1" t="s">
        <v>161</v>
      </c>
    </row>
    <row r="8" spans="1:11" x14ac:dyDescent="0.35">
      <c r="A8" s="1" t="s">
        <v>125</v>
      </c>
      <c r="B8" s="1" t="s">
        <v>126</v>
      </c>
      <c r="C8" s="1">
        <v>1997</v>
      </c>
      <c r="D8" s="1" t="s">
        <v>103</v>
      </c>
      <c r="E8" s="1" t="s">
        <v>107</v>
      </c>
      <c r="F8" s="1" t="s">
        <v>412</v>
      </c>
      <c r="G8" s="1" t="s">
        <v>108</v>
      </c>
      <c r="H8" s="1">
        <v>1997</v>
      </c>
      <c r="I8" s="1">
        <v>2.4900000000000002</v>
      </c>
      <c r="K8" s="1" t="s">
        <v>161</v>
      </c>
    </row>
    <row r="9" spans="1:11" x14ac:dyDescent="0.35">
      <c r="A9" s="1" t="s">
        <v>125</v>
      </c>
      <c r="B9" s="1" t="s">
        <v>126</v>
      </c>
      <c r="C9" s="1">
        <v>1997</v>
      </c>
      <c r="D9" s="1" t="s">
        <v>103</v>
      </c>
      <c r="E9" s="1" t="s">
        <v>101</v>
      </c>
      <c r="F9" s="1" t="s">
        <v>412</v>
      </c>
      <c r="G9" s="1" t="s">
        <v>102</v>
      </c>
      <c r="H9" s="1">
        <v>1997</v>
      </c>
      <c r="I9" s="1">
        <v>14.84</v>
      </c>
      <c r="K9" s="1" t="s">
        <v>189</v>
      </c>
    </row>
    <row r="10" spans="1:11" x14ac:dyDescent="0.35">
      <c r="A10" s="1" t="s">
        <v>125</v>
      </c>
      <c r="B10" s="1" t="s">
        <v>126</v>
      </c>
      <c r="C10" s="1">
        <v>1997</v>
      </c>
      <c r="D10" s="1" t="s">
        <v>103</v>
      </c>
      <c r="E10" s="1" t="s">
        <v>100</v>
      </c>
      <c r="F10" s="1" t="s">
        <v>412</v>
      </c>
      <c r="G10" s="1" t="s">
        <v>102</v>
      </c>
      <c r="H10" s="1">
        <v>1997</v>
      </c>
      <c r="I10" s="1">
        <v>40</v>
      </c>
      <c r="K10" s="1" t="s">
        <v>212</v>
      </c>
    </row>
    <row r="11" spans="1:11" x14ac:dyDescent="0.35">
      <c r="A11" s="1" t="s">
        <v>125</v>
      </c>
      <c r="B11" s="1" t="s">
        <v>126</v>
      </c>
      <c r="C11" s="1">
        <v>1997</v>
      </c>
      <c r="D11" s="1" t="s">
        <v>103</v>
      </c>
      <c r="E11" s="1" t="s">
        <v>107</v>
      </c>
      <c r="F11" s="1" t="s">
        <v>412</v>
      </c>
      <c r="G11" s="1" t="s">
        <v>102</v>
      </c>
      <c r="H11" s="1">
        <v>1997</v>
      </c>
      <c r="I11" s="1">
        <f>14.84-2.49</f>
        <v>12.35</v>
      </c>
      <c r="K11" s="1" t="s">
        <v>188</v>
      </c>
    </row>
    <row r="12" spans="1:11" x14ac:dyDescent="0.35">
      <c r="A12" s="1" t="s">
        <v>125</v>
      </c>
      <c r="B12" s="1" t="s">
        <v>126</v>
      </c>
      <c r="C12" s="1">
        <v>2002</v>
      </c>
      <c r="D12" s="1" t="s">
        <v>103</v>
      </c>
      <c r="E12" s="1" t="s">
        <v>100</v>
      </c>
      <c r="F12" s="1" t="s">
        <v>412</v>
      </c>
      <c r="G12" s="1" t="s">
        <v>102</v>
      </c>
      <c r="H12" s="1">
        <v>2002</v>
      </c>
      <c r="I12" s="1">
        <v>40</v>
      </c>
      <c r="K12" s="1" t="s">
        <v>212</v>
      </c>
    </row>
    <row r="13" spans="1:11" x14ac:dyDescent="0.35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107</v>
      </c>
      <c r="F13" s="1" t="s">
        <v>412</v>
      </c>
      <c r="G13" s="1" t="s">
        <v>61</v>
      </c>
      <c r="H13" s="1">
        <v>2002</v>
      </c>
      <c r="I13" s="1">
        <v>3.3</v>
      </c>
      <c r="K13" s="1" t="s">
        <v>161</v>
      </c>
    </row>
    <row r="14" spans="1:11" x14ac:dyDescent="0.35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107</v>
      </c>
      <c r="F14" s="1" t="s">
        <v>412</v>
      </c>
      <c r="G14" s="1" t="s">
        <v>62</v>
      </c>
      <c r="H14" s="1">
        <v>2002</v>
      </c>
      <c r="I14" s="1">
        <v>2.19</v>
      </c>
      <c r="K14" s="1" t="s">
        <v>161</v>
      </c>
    </row>
    <row r="15" spans="1:11" x14ac:dyDescent="0.35">
      <c r="A15" s="1" t="s">
        <v>125</v>
      </c>
      <c r="B15" s="1" t="s">
        <v>126</v>
      </c>
      <c r="C15" s="1">
        <v>2002</v>
      </c>
      <c r="D15" s="1" t="s">
        <v>103</v>
      </c>
      <c r="E15" s="1" t="s">
        <v>107</v>
      </c>
      <c r="F15" s="1" t="s">
        <v>412</v>
      </c>
      <c r="G15" s="1" t="s">
        <v>63</v>
      </c>
      <c r="H15" s="1">
        <v>2002</v>
      </c>
      <c r="I15" s="1">
        <v>2.1</v>
      </c>
      <c r="K15" s="1" t="s">
        <v>161</v>
      </c>
    </row>
    <row r="16" spans="1:11" x14ac:dyDescent="0.35">
      <c r="A16" s="1" t="s">
        <v>125</v>
      </c>
      <c r="B16" s="1" t="s">
        <v>126</v>
      </c>
      <c r="C16" s="1">
        <v>2002</v>
      </c>
      <c r="D16" s="1" t="s">
        <v>103</v>
      </c>
      <c r="E16" s="1" t="s">
        <v>107</v>
      </c>
      <c r="F16" s="1" t="s">
        <v>412</v>
      </c>
      <c r="G16" s="1" t="s">
        <v>106</v>
      </c>
      <c r="H16" s="1">
        <v>2002</v>
      </c>
      <c r="I16" s="1">
        <v>0.87</v>
      </c>
      <c r="K16" s="1" t="s">
        <v>161</v>
      </c>
    </row>
    <row r="17" spans="1:11" x14ac:dyDescent="0.35">
      <c r="A17" s="1" t="s">
        <v>125</v>
      </c>
      <c r="B17" s="1" t="s">
        <v>126</v>
      </c>
      <c r="C17" s="1">
        <v>2002</v>
      </c>
      <c r="D17" s="1" t="s">
        <v>103</v>
      </c>
      <c r="E17" s="1" t="s">
        <v>107</v>
      </c>
      <c r="F17" s="1" t="s">
        <v>412</v>
      </c>
      <c r="G17" s="1" t="s">
        <v>160</v>
      </c>
      <c r="H17" s="1">
        <v>2002</v>
      </c>
      <c r="I17" s="1">
        <v>0.7</v>
      </c>
      <c r="K17" s="1" t="s">
        <v>161</v>
      </c>
    </row>
    <row r="18" spans="1:11" x14ac:dyDescent="0.35">
      <c r="A18" s="1" t="s">
        <v>125</v>
      </c>
      <c r="B18" s="1" t="s">
        <v>126</v>
      </c>
      <c r="C18" s="1">
        <v>2002</v>
      </c>
      <c r="D18" s="1" t="s">
        <v>103</v>
      </c>
      <c r="E18" s="1" t="s">
        <v>107</v>
      </c>
      <c r="F18" s="1" t="s">
        <v>412</v>
      </c>
      <c r="G18" s="1" t="s">
        <v>159</v>
      </c>
      <c r="H18" s="1">
        <v>2002</v>
      </c>
      <c r="I18" s="1">
        <v>0.03</v>
      </c>
      <c r="K18" s="1" t="s">
        <v>161</v>
      </c>
    </row>
    <row r="19" spans="1:11" x14ac:dyDescent="0.35">
      <c r="A19" s="1" t="s">
        <v>125</v>
      </c>
      <c r="B19" s="1" t="s">
        <v>126</v>
      </c>
      <c r="C19" s="1">
        <v>2002</v>
      </c>
      <c r="D19" s="1" t="s">
        <v>103</v>
      </c>
      <c r="E19" s="1" t="s">
        <v>107</v>
      </c>
      <c r="F19" s="1" t="s">
        <v>412</v>
      </c>
      <c r="G19" s="1" t="s">
        <v>108</v>
      </c>
      <c r="H19" s="1">
        <v>2002</v>
      </c>
      <c r="I19" s="1">
        <v>1.1299999999999999</v>
      </c>
      <c r="K19" s="1" t="s">
        <v>161</v>
      </c>
    </row>
    <row r="20" spans="1:11" x14ac:dyDescent="0.35">
      <c r="A20" s="1" t="s">
        <v>125</v>
      </c>
      <c r="B20" s="1" t="s">
        <v>126</v>
      </c>
      <c r="C20" s="1">
        <v>2002</v>
      </c>
      <c r="D20" s="1" t="s">
        <v>103</v>
      </c>
      <c r="E20" s="1" t="s">
        <v>101</v>
      </c>
      <c r="F20" s="1" t="s">
        <v>412</v>
      </c>
      <c r="G20" s="1" t="s">
        <v>102</v>
      </c>
      <c r="H20" s="1">
        <v>2002</v>
      </c>
      <c r="I20" s="1">
        <v>10.32</v>
      </c>
      <c r="K20" s="1" t="s">
        <v>189</v>
      </c>
    </row>
    <row r="21" spans="1:11" x14ac:dyDescent="0.35">
      <c r="A21" s="1" t="s">
        <v>125</v>
      </c>
      <c r="B21" s="1" t="s">
        <v>126</v>
      </c>
      <c r="C21" s="1">
        <v>2002</v>
      </c>
      <c r="D21" s="1" t="s">
        <v>103</v>
      </c>
      <c r="E21" s="1" t="s">
        <v>107</v>
      </c>
      <c r="F21" s="1" t="s">
        <v>412</v>
      </c>
      <c r="G21" s="1" t="s">
        <v>102</v>
      </c>
      <c r="H21" s="1">
        <v>2002</v>
      </c>
      <c r="I21" s="1">
        <f>10.32-1.13</f>
        <v>9.1900000000000013</v>
      </c>
      <c r="K21" s="1" t="s">
        <v>188</v>
      </c>
    </row>
    <row r="22" spans="1:11" x14ac:dyDescent="0.35">
      <c r="A22" s="1" t="s">
        <v>125</v>
      </c>
      <c r="B22" s="1" t="s">
        <v>126</v>
      </c>
      <c r="C22" s="1">
        <v>2003</v>
      </c>
      <c r="D22" s="1" t="s">
        <v>103</v>
      </c>
      <c r="E22" s="1" t="s">
        <v>100</v>
      </c>
      <c r="F22" s="1" t="s">
        <v>412</v>
      </c>
      <c r="G22" s="1" t="s">
        <v>102</v>
      </c>
      <c r="H22" s="1">
        <v>2002</v>
      </c>
      <c r="I22" s="1">
        <v>40</v>
      </c>
      <c r="K22" s="1" t="s">
        <v>212</v>
      </c>
    </row>
    <row r="23" spans="1:11" x14ac:dyDescent="0.35">
      <c r="A23" s="1" t="s">
        <v>125</v>
      </c>
      <c r="B23" s="1" t="s">
        <v>126</v>
      </c>
      <c r="C23" s="1">
        <v>2003</v>
      </c>
      <c r="D23" s="1" t="s">
        <v>103</v>
      </c>
      <c r="E23" s="1" t="s">
        <v>107</v>
      </c>
      <c r="F23" s="1" t="s">
        <v>412</v>
      </c>
      <c r="G23" s="1" t="s">
        <v>61</v>
      </c>
      <c r="H23" s="1">
        <v>2002</v>
      </c>
      <c r="I23" s="1">
        <v>3.3</v>
      </c>
      <c r="K23" s="1" t="s">
        <v>161</v>
      </c>
    </row>
    <row r="24" spans="1:11" x14ac:dyDescent="0.35">
      <c r="A24" s="1" t="s">
        <v>125</v>
      </c>
      <c r="B24" s="1" t="s">
        <v>126</v>
      </c>
      <c r="C24" s="1">
        <v>2003</v>
      </c>
      <c r="D24" s="1" t="s">
        <v>103</v>
      </c>
      <c r="E24" s="1" t="s">
        <v>107</v>
      </c>
      <c r="F24" s="1" t="s">
        <v>412</v>
      </c>
      <c r="G24" s="1" t="s">
        <v>62</v>
      </c>
      <c r="H24" s="1">
        <v>2002</v>
      </c>
      <c r="I24" s="1">
        <v>2.19</v>
      </c>
      <c r="K24" s="1" t="s">
        <v>161</v>
      </c>
    </row>
    <row r="25" spans="1:11" x14ac:dyDescent="0.35">
      <c r="A25" s="1" t="s">
        <v>125</v>
      </c>
      <c r="B25" s="1" t="s">
        <v>126</v>
      </c>
      <c r="C25" s="1">
        <v>2003</v>
      </c>
      <c r="D25" s="1" t="s">
        <v>103</v>
      </c>
      <c r="E25" s="1" t="s">
        <v>107</v>
      </c>
      <c r="F25" s="1" t="s">
        <v>412</v>
      </c>
      <c r="G25" s="1" t="s">
        <v>63</v>
      </c>
      <c r="H25" s="1">
        <v>2002</v>
      </c>
      <c r="I25" s="1">
        <v>2.1</v>
      </c>
      <c r="K25" s="1" t="s">
        <v>161</v>
      </c>
    </row>
    <row r="26" spans="1:11" x14ac:dyDescent="0.35">
      <c r="A26" s="1" t="s">
        <v>125</v>
      </c>
      <c r="B26" s="1" t="s">
        <v>126</v>
      </c>
      <c r="C26" s="1">
        <v>2003</v>
      </c>
      <c r="D26" s="1" t="s">
        <v>103</v>
      </c>
      <c r="E26" s="1" t="s">
        <v>107</v>
      </c>
      <c r="F26" s="1" t="s">
        <v>412</v>
      </c>
      <c r="G26" s="1" t="s">
        <v>106</v>
      </c>
      <c r="H26" s="1">
        <v>2002</v>
      </c>
      <c r="I26" s="1">
        <v>0.87</v>
      </c>
      <c r="K26" s="1" t="s">
        <v>161</v>
      </c>
    </row>
    <row r="27" spans="1:11" x14ac:dyDescent="0.35">
      <c r="A27" s="1" t="s">
        <v>125</v>
      </c>
      <c r="B27" s="1" t="s">
        <v>126</v>
      </c>
      <c r="C27" s="1">
        <v>2003</v>
      </c>
      <c r="D27" s="1" t="s">
        <v>103</v>
      </c>
      <c r="E27" s="1" t="s">
        <v>107</v>
      </c>
      <c r="F27" s="1" t="s">
        <v>412</v>
      </c>
      <c r="G27" s="1" t="s">
        <v>160</v>
      </c>
      <c r="H27" s="1">
        <v>2002</v>
      </c>
      <c r="I27" s="1">
        <v>0.7</v>
      </c>
      <c r="K27" s="1" t="s">
        <v>161</v>
      </c>
    </row>
    <row r="28" spans="1:11" x14ac:dyDescent="0.35">
      <c r="A28" s="1" t="s">
        <v>125</v>
      </c>
      <c r="B28" s="1" t="s">
        <v>126</v>
      </c>
      <c r="C28" s="1">
        <v>2003</v>
      </c>
      <c r="D28" s="1" t="s">
        <v>103</v>
      </c>
      <c r="E28" s="1" t="s">
        <v>107</v>
      </c>
      <c r="F28" s="1" t="s">
        <v>412</v>
      </c>
      <c r="G28" s="1" t="s">
        <v>159</v>
      </c>
      <c r="H28" s="1">
        <v>2002</v>
      </c>
      <c r="I28" s="1">
        <v>0.03</v>
      </c>
      <c r="K28" s="1" t="s">
        <v>161</v>
      </c>
    </row>
    <row r="29" spans="1:11" x14ac:dyDescent="0.35">
      <c r="A29" s="1" t="s">
        <v>125</v>
      </c>
      <c r="B29" s="1" t="s">
        <v>126</v>
      </c>
      <c r="C29" s="1">
        <v>2003</v>
      </c>
      <c r="D29" s="1" t="s">
        <v>103</v>
      </c>
      <c r="E29" s="1" t="s">
        <v>107</v>
      </c>
      <c r="F29" s="1" t="s">
        <v>412</v>
      </c>
      <c r="G29" s="1" t="s">
        <v>108</v>
      </c>
      <c r="H29" s="1">
        <v>2002</v>
      </c>
      <c r="I29" s="1">
        <v>3.11</v>
      </c>
      <c r="K29" s="1" t="s">
        <v>161</v>
      </c>
    </row>
    <row r="30" spans="1:11" x14ac:dyDescent="0.35">
      <c r="A30" s="1" t="s">
        <v>125</v>
      </c>
      <c r="B30" s="1" t="s">
        <v>126</v>
      </c>
      <c r="C30" s="1">
        <v>2003</v>
      </c>
      <c r="D30" s="1" t="s">
        <v>103</v>
      </c>
      <c r="E30" s="1" t="s">
        <v>101</v>
      </c>
      <c r="F30" s="1" t="s">
        <v>412</v>
      </c>
      <c r="G30" s="1" t="s">
        <v>102</v>
      </c>
      <c r="H30" s="1">
        <v>2002</v>
      </c>
      <c r="I30" s="1">
        <v>12.3</v>
      </c>
      <c r="K30" s="1" t="s">
        <v>189</v>
      </c>
    </row>
    <row r="31" spans="1:11" x14ac:dyDescent="0.35">
      <c r="A31" s="1" t="s">
        <v>125</v>
      </c>
      <c r="B31" s="1" t="s">
        <v>126</v>
      </c>
      <c r="C31" s="1">
        <v>2003</v>
      </c>
      <c r="D31" s="1" t="s">
        <v>103</v>
      </c>
      <c r="E31" s="1" t="s">
        <v>107</v>
      </c>
      <c r="F31" s="1" t="s">
        <v>412</v>
      </c>
      <c r="G31" s="1" t="s">
        <v>102</v>
      </c>
      <c r="H31" s="1">
        <v>2002</v>
      </c>
      <c r="I31" s="1">
        <f>12.3-3.11</f>
        <v>9.1900000000000013</v>
      </c>
      <c r="K31" s="1" t="s">
        <v>188</v>
      </c>
    </row>
    <row r="32" spans="1:11" x14ac:dyDescent="0.35">
      <c r="A32" s="1" t="s">
        <v>125</v>
      </c>
      <c r="B32" s="1" t="s">
        <v>126</v>
      </c>
      <c r="C32" s="1">
        <v>2007</v>
      </c>
      <c r="D32" s="1" t="s">
        <v>103</v>
      </c>
      <c r="E32" s="1" t="s">
        <v>100</v>
      </c>
      <c r="F32" s="1" t="s">
        <v>412</v>
      </c>
      <c r="G32" s="1" t="s">
        <v>102</v>
      </c>
      <c r="H32" s="1">
        <v>2006</v>
      </c>
      <c r="I32" s="1">
        <v>40</v>
      </c>
      <c r="K32" s="1" t="s">
        <v>220</v>
      </c>
    </row>
    <row r="33" spans="1:12" x14ac:dyDescent="0.35">
      <c r="A33" s="1" t="s">
        <v>125</v>
      </c>
      <c r="B33" s="1" t="s">
        <v>126</v>
      </c>
      <c r="C33" s="1">
        <v>2007</v>
      </c>
      <c r="D33" s="1" t="s">
        <v>103</v>
      </c>
      <c r="E33" s="1" t="s">
        <v>107</v>
      </c>
      <c r="F33" s="1" t="s">
        <v>412</v>
      </c>
      <c r="G33" s="1" t="s">
        <v>61</v>
      </c>
      <c r="H33" s="1">
        <v>2006</v>
      </c>
      <c r="I33" s="1">
        <v>3.43</v>
      </c>
      <c r="K33" s="1" t="s">
        <v>278</v>
      </c>
    </row>
    <row r="34" spans="1:12" x14ac:dyDescent="0.35">
      <c r="A34" s="1" t="s">
        <v>125</v>
      </c>
      <c r="B34" s="1" t="s">
        <v>126</v>
      </c>
      <c r="C34" s="1">
        <v>2007</v>
      </c>
      <c r="D34" s="1" t="s">
        <v>103</v>
      </c>
      <c r="E34" s="1" t="s">
        <v>107</v>
      </c>
      <c r="F34" s="1" t="s">
        <v>412</v>
      </c>
      <c r="G34" s="1" t="s">
        <v>62</v>
      </c>
      <c r="H34" s="1">
        <v>2006</v>
      </c>
      <c r="I34" s="1">
        <v>2.75</v>
      </c>
      <c r="K34" s="1" t="s">
        <v>278</v>
      </c>
    </row>
    <row r="35" spans="1:12" x14ac:dyDescent="0.35">
      <c r="A35" s="1" t="s">
        <v>125</v>
      </c>
      <c r="B35" s="1" t="s">
        <v>126</v>
      </c>
      <c r="C35" s="1">
        <v>2007</v>
      </c>
      <c r="D35" s="1" t="s">
        <v>103</v>
      </c>
      <c r="E35" s="1" t="s">
        <v>107</v>
      </c>
      <c r="F35" s="1" t="s">
        <v>412</v>
      </c>
      <c r="G35" s="1" t="s">
        <v>63</v>
      </c>
      <c r="H35" s="1">
        <v>2006</v>
      </c>
      <c r="I35" s="1">
        <v>2.17</v>
      </c>
      <c r="K35" s="1" t="s">
        <v>278</v>
      </c>
    </row>
    <row r="36" spans="1:12" x14ac:dyDescent="0.35">
      <c r="A36" s="1" t="s">
        <v>125</v>
      </c>
      <c r="B36" s="1" t="s">
        <v>126</v>
      </c>
      <c r="C36" s="1">
        <v>2007</v>
      </c>
      <c r="D36" s="1" t="s">
        <v>103</v>
      </c>
      <c r="E36" s="1" t="s">
        <v>107</v>
      </c>
      <c r="F36" s="1" t="s">
        <v>412</v>
      </c>
      <c r="G36" s="1" t="s">
        <v>106</v>
      </c>
      <c r="H36" s="1">
        <v>2006</v>
      </c>
      <c r="I36" s="1" t="s">
        <v>85</v>
      </c>
    </row>
    <row r="37" spans="1:12" x14ac:dyDescent="0.35">
      <c r="A37" s="1" t="s">
        <v>125</v>
      </c>
      <c r="B37" s="1" t="s">
        <v>126</v>
      </c>
      <c r="C37" s="1">
        <v>2007</v>
      </c>
      <c r="D37" s="1" t="s">
        <v>103</v>
      </c>
      <c r="E37" s="1" t="s">
        <v>107</v>
      </c>
      <c r="F37" s="1" t="s">
        <v>412</v>
      </c>
      <c r="G37" s="1" t="s">
        <v>160</v>
      </c>
      <c r="H37" s="1">
        <v>2006</v>
      </c>
      <c r="I37" s="1" t="s">
        <v>85</v>
      </c>
    </row>
    <row r="38" spans="1:12" x14ac:dyDescent="0.35">
      <c r="A38" s="1" t="s">
        <v>125</v>
      </c>
      <c r="B38" s="1" t="s">
        <v>126</v>
      </c>
      <c r="C38" s="1">
        <v>2007</v>
      </c>
      <c r="D38" s="1" t="s">
        <v>103</v>
      </c>
      <c r="E38" s="1" t="s">
        <v>107</v>
      </c>
      <c r="F38" s="1" t="s">
        <v>412</v>
      </c>
      <c r="G38" s="1" t="s">
        <v>159</v>
      </c>
      <c r="H38" s="1">
        <v>2006</v>
      </c>
      <c r="I38" s="1" t="s">
        <v>85</v>
      </c>
    </row>
    <row r="39" spans="1:12" x14ac:dyDescent="0.35">
      <c r="A39" s="1" t="s">
        <v>125</v>
      </c>
      <c r="B39" s="1" t="s">
        <v>126</v>
      </c>
      <c r="C39" s="1">
        <v>2007</v>
      </c>
      <c r="D39" s="1" t="s">
        <v>103</v>
      </c>
      <c r="E39" s="1" t="s">
        <v>107</v>
      </c>
      <c r="F39" s="1" t="s">
        <v>412</v>
      </c>
      <c r="G39" s="1" t="s">
        <v>108</v>
      </c>
      <c r="H39" s="1">
        <v>2006</v>
      </c>
      <c r="I39" s="1">
        <v>3.4857640000000001</v>
      </c>
    </row>
    <row r="40" spans="1:12" x14ac:dyDescent="0.35">
      <c r="A40" s="1" t="s">
        <v>125</v>
      </c>
      <c r="B40" s="1" t="s">
        <v>126</v>
      </c>
      <c r="C40" s="1">
        <v>2007</v>
      </c>
      <c r="D40" s="1" t="s">
        <v>103</v>
      </c>
      <c r="E40" s="1" t="s">
        <v>101</v>
      </c>
      <c r="F40" s="1" t="s">
        <v>412</v>
      </c>
      <c r="G40" s="1" t="s">
        <v>102</v>
      </c>
      <c r="H40" s="1">
        <v>2006</v>
      </c>
      <c r="I40" s="1">
        <v>14.833036</v>
      </c>
      <c r="K40" s="1" t="s">
        <v>189</v>
      </c>
    </row>
    <row r="41" spans="1:12" x14ac:dyDescent="0.35">
      <c r="A41" s="1" t="s">
        <v>125</v>
      </c>
      <c r="B41" s="1" t="s">
        <v>126</v>
      </c>
      <c r="C41" s="1">
        <v>2007</v>
      </c>
      <c r="D41" s="1" t="s">
        <v>103</v>
      </c>
      <c r="E41" s="1" t="s">
        <v>107</v>
      </c>
      <c r="F41" s="1" t="s">
        <v>412</v>
      </c>
      <c r="G41" s="1" t="s">
        <v>102</v>
      </c>
      <c r="H41" s="1">
        <v>2006</v>
      </c>
      <c r="I41" s="1">
        <v>11.347272</v>
      </c>
      <c r="K41" s="1" t="s">
        <v>188</v>
      </c>
    </row>
    <row r="42" spans="1:12" x14ac:dyDescent="0.35">
      <c r="A42" s="1" t="s">
        <v>125</v>
      </c>
      <c r="B42" s="1" t="s">
        <v>126</v>
      </c>
      <c r="C42" s="1">
        <v>2011</v>
      </c>
      <c r="D42" s="1" t="s">
        <v>103</v>
      </c>
      <c r="E42" s="1" t="s">
        <v>100</v>
      </c>
      <c r="F42" s="1" t="s">
        <v>412</v>
      </c>
      <c r="G42" s="1" t="s">
        <v>102</v>
      </c>
      <c r="H42" s="1">
        <v>2010</v>
      </c>
      <c r="I42" s="1">
        <v>40</v>
      </c>
      <c r="K42" s="1" t="s">
        <v>237</v>
      </c>
    </row>
    <row r="43" spans="1:12" x14ac:dyDescent="0.35">
      <c r="A43" s="1" t="s">
        <v>125</v>
      </c>
      <c r="B43" s="1" t="s">
        <v>126</v>
      </c>
      <c r="C43" s="1">
        <v>2011</v>
      </c>
      <c r="D43" s="1" t="s">
        <v>103</v>
      </c>
      <c r="E43" s="1" t="s">
        <v>107</v>
      </c>
      <c r="F43" s="1" t="s">
        <v>412</v>
      </c>
      <c r="G43" s="1" t="s">
        <v>61</v>
      </c>
      <c r="H43" s="1">
        <v>2010</v>
      </c>
      <c r="I43" s="1">
        <v>3.45</v>
      </c>
      <c r="K43" s="1" t="s">
        <v>278</v>
      </c>
    </row>
    <row r="44" spans="1:12" x14ac:dyDescent="0.35">
      <c r="A44" s="1" t="s">
        <v>125</v>
      </c>
      <c r="B44" s="1" t="s">
        <v>126</v>
      </c>
      <c r="C44" s="1">
        <v>2011</v>
      </c>
      <c r="D44" s="1" t="s">
        <v>103</v>
      </c>
      <c r="E44" s="1" t="s">
        <v>107</v>
      </c>
      <c r="F44" s="1" t="s">
        <v>412</v>
      </c>
      <c r="G44" s="1" t="s">
        <v>62</v>
      </c>
      <c r="H44" s="1">
        <v>2010</v>
      </c>
      <c r="I44" s="1">
        <v>2.875</v>
      </c>
      <c r="K44" s="1" t="s">
        <v>278</v>
      </c>
    </row>
    <row r="45" spans="1:12" x14ac:dyDescent="0.35">
      <c r="A45" s="1" t="s">
        <v>125</v>
      </c>
      <c r="B45" s="1" t="s">
        <v>126</v>
      </c>
      <c r="C45" s="1">
        <v>2011</v>
      </c>
      <c r="D45" s="1" t="s">
        <v>103</v>
      </c>
      <c r="E45" s="1" t="s">
        <v>107</v>
      </c>
      <c r="F45" s="1" t="s">
        <v>412</v>
      </c>
      <c r="G45" s="1" t="s">
        <v>63</v>
      </c>
      <c r="H45" s="1">
        <v>2010</v>
      </c>
      <c r="I45" s="1">
        <v>2.2999999999999998</v>
      </c>
      <c r="K45" s="1" t="s">
        <v>278</v>
      </c>
    </row>
    <row r="46" spans="1:12" x14ac:dyDescent="0.35">
      <c r="A46" s="1" t="s">
        <v>125</v>
      </c>
      <c r="B46" s="1" t="s">
        <v>126</v>
      </c>
      <c r="C46" s="1">
        <v>2011</v>
      </c>
      <c r="D46" s="1" t="s">
        <v>103</v>
      </c>
      <c r="E46" s="1" t="s">
        <v>107</v>
      </c>
      <c r="F46" s="1" t="s">
        <v>412</v>
      </c>
      <c r="G46" s="1" t="s">
        <v>106</v>
      </c>
      <c r="H46" s="1">
        <v>2010</v>
      </c>
      <c r="I46" s="1" t="s">
        <v>85</v>
      </c>
    </row>
    <row r="47" spans="1:12" x14ac:dyDescent="0.35">
      <c r="A47" s="1" t="s">
        <v>125</v>
      </c>
      <c r="B47" s="1" t="s">
        <v>126</v>
      </c>
      <c r="C47" s="1">
        <v>2011</v>
      </c>
      <c r="D47" s="1" t="s">
        <v>103</v>
      </c>
      <c r="E47" s="1" t="s">
        <v>107</v>
      </c>
      <c r="F47" s="1" t="s">
        <v>412</v>
      </c>
      <c r="G47" s="1" t="s">
        <v>160</v>
      </c>
      <c r="H47" s="1">
        <v>2010</v>
      </c>
      <c r="I47" s="1" t="s">
        <v>85</v>
      </c>
      <c r="L47" s="1">
        <f>13.3/0.76</f>
        <v>17.5</v>
      </c>
    </row>
    <row r="48" spans="1:12" x14ac:dyDescent="0.35">
      <c r="A48" s="1" t="s">
        <v>125</v>
      </c>
      <c r="B48" s="1" t="s">
        <v>126</v>
      </c>
      <c r="C48" s="1">
        <v>2011</v>
      </c>
      <c r="D48" s="1" t="s">
        <v>103</v>
      </c>
      <c r="E48" s="1" t="s">
        <v>107</v>
      </c>
      <c r="F48" s="1" t="s">
        <v>412</v>
      </c>
      <c r="G48" s="1" t="s">
        <v>159</v>
      </c>
      <c r="H48" s="1">
        <v>2010</v>
      </c>
      <c r="I48" s="1" t="s">
        <v>85</v>
      </c>
    </row>
    <row r="49" spans="1:11" x14ac:dyDescent="0.35">
      <c r="A49" s="1" t="s">
        <v>125</v>
      </c>
      <c r="B49" s="1" t="s">
        <v>126</v>
      </c>
      <c r="C49" s="1">
        <v>2011</v>
      </c>
      <c r="D49" s="1" t="s">
        <v>103</v>
      </c>
      <c r="E49" s="1" t="s">
        <v>107</v>
      </c>
      <c r="F49" s="1" t="s">
        <v>412</v>
      </c>
      <c r="G49" s="1" t="s">
        <v>108</v>
      </c>
      <c r="H49" s="1">
        <v>2010</v>
      </c>
      <c r="I49" s="1">
        <v>2.875</v>
      </c>
    </row>
    <row r="50" spans="1:11" x14ac:dyDescent="0.35">
      <c r="A50" s="1" t="s">
        <v>125</v>
      </c>
      <c r="B50" s="1" t="s">
        <v>126</v>
      </c>
      <c r="C50" s="1">
        <v>2011</v>
      </c>
      <c r="D50" s="1" t="s">
        <v>103</v>
      </c>
      <c r="E50" s="1" t="s">
        <v>101</v>
      </c>
      <c r="F50" s="1" t="s">
        <v>412</v>
      </c>
      <c r="G50" s="1" t="s">
        <v>102</v>
      </c>
      <c r="H50" s="1">
        <v>2010</v>
      </c>
      <c r="I50" s="1">
        <v>15.33</v>
      </c>
      <c r="K50" s="1" t="s">
        <v>189</v>
      </c>
    </row>
    <row r="51" spans="1:11" x14ac:dyDescent="0.35">
      <c r="A51" s="1" t="s">
        <v>125</v>
      </c>
      <c r="B51" s="1" t="s">
        <v>126</v>
      </c>
      <c r="C51" s="1">
        <v>2011</v>
      </c>
      <c r="D51" s="1" t="s">
        <v>103</v>
      </c>
      <c r="E51" s="1" t="s">
        <v>107</v>
      </c>
      <c r="F51" s="1" t="s">
        <v>412</v>
      </c>
      <c r="G51" s="1" t="s">
        <v>102</v>
      </c>
      <c r="H51" s="1">
        <v>2010</v>
      </c>
      <c r="I51" s="1">
        <v>11.5</v>
      </c>
      <c r="K51" s="1" t="s">
        <v>188</v>
      </c>
    </row>
    <row r="52" spans="1:11" x14ac:dyDescent="0.35">
      <c r="A52" s="1" t="s">
        <v>125</v>
      </c>
      <c r="B52" s="1" t="s">
        <v>126</v>
      </c>
      <c r="C52" s="1">
        <v>2015</v>
      </c>
      <c r="D52" s="1" t="s">
        <v>103</v>
      </c>
      <c r="E52" s="1" t="s">
        <v>100</v>
      </c>
      <c r="F52" s="1" t="s">
        <v>412</v>
      </c>
      <c r="G52" s="1" t="s">
        <v>102</v>
      </c>
      <c r="H52" s="1">
        <v>2014</v>
      </c>
      <c r="I52" s="1">
        <v>40</v>
      </c>
      <c r="K52" s="1" t="s">
        <v>237</v>
      </c>
    </row>
    <row r="53" spans="1:11" x14ac:dyDescent="0.35">
      <c r="A53" s="1" t="s">
        <v>125</v>
      </c>
      <c r="B53" s="1" t="s">
        <v>126</v>
      </c>
      <c r="C53" s="1">
        <v>2015</v>
      </c>
      <c r="D53" s="1" t="s">
        <v>103</v>
      </c>
      <c r="E53" s="1" t="s">
        <v>107</v>
      </c>
      <c r="F53" s="1" t="s">
        <v>412</v>
      </c>
      <c r="G53" s="1" t="s">
        <v>61</v>
      </c>
      <c r="H53" s="1">
        <v>2014</v>
      </c>
      <c r="I53" s="1">
        <f>13.3*0.3</f>
        <v>3.99</v>
      </c>
      <c r="K53" s="1" t="s">
        <v>278</v>
      </c>
    </row>
    <row r="54" spans="1:11" x14ac:dyDescent="0.35">
      <c r="A54" s="1" t="s">
        <v>125</v>
      </c>
      <c r="B54" s="1" t="s">
        <v>126</v>
      </c>
      <c r="C54" s="1">
        <v>2015</v>
      </c>
      <c r="D54" s="1" t="s">
        <v>103</v>
      </c>
      <c r="E54" s="1" t="s">
        <v>107</v>
      </c>
      <c r="F54" s="1" t="s">
        <v>412</v>
      </c>
      <c r="G54" s="1" t="s">
        <v>62</v>
      </c>
      <c r="H54" s="1">
        <v>2014</v>
      </c>
      <c r="I54" s="1">
        <f>13.3*0.25</f>
        <v>3.3250000000000002</v>
      </c>
      <c r="K54" s="1" t="s">
        <v>278</v>
      </c>
    </row>
    <row r="55" spans="1:11" x14ac:dyDescent="0.35">
      <c r="A55" s="1" t="s">
        <v>125</v>
      </c>
      <c r="B55" s="1" t="s">
        <v>126</v>
      </c>
      <c r="C55" s="1">
        <v>2015</v>
      </c>
      <c r="D55" s="1" t="s">
        <v>103</v>
      </c>
      <c r="E55" s="1" t="s">
        <v>107</v>
      </c>
      <c r="F55" s="1" t="s">
        <v>412</v>
      </c>
      <c r="G55" s="1" t="s">
        <v>63</v>
      </c>
      <c r="H55" s="1">
        <v>2014</v>
      </c>
      <c r="I55" s="1">
        <f>13.3*0.2</f>
        <v>2.66</v>
      </c>
      <c r="K55" s="1" t="s">
        <v>278</v>
      </c>
    </row>
    <row r="56" spans="1:11" x14ac:dyDescent="0.35">
      <c r="A56" s="1" t="s">
        <v>125</v>
      </c>
      <c r="B56" s="1" t="s">
        <v>126</v>
      </c>
      <c r="C56" s="1">
        <v>2015</v>
      </c>
      <c r="D56" s="1" t="s">
        <v>103</v>
      </c>
      <c r="E56" s="1" t="s">
        <v>107</v>
      </c>
      <c r="F56" s="1" t="s">
        <v>412</v>
      </c>
      <c r="G56" s="1" t="s">
        <v>106</v>
      </c>
      <c r="H56" s="1">
        <v>2014</v>
      </c>
      <c r="I56" s="1" t="s">
        <v>85</v>
      </c>
    </row>
    <row r="57" spans="1:11" x14ac:dyDescent="0.35">
      <c r="A57" s="1" t="s">
        <v>125</v>
      </c>
      <c r="B57" s="1" t="s">
        <v>126</v>
      </c>
      <c r="C57" s="1">
        <v>2015</v>
      </c>
      <c r="D57" s="1" t="s">
        <v>103</v>
      </c>
      <c r="E57" s="1" t="s">
        <v>107</v>
      </c>
      <c r="F57" s="1" t="s">
        <v>412</v>
      </c>
      <c r="G57" s="1" t="s">
        <v>160</v>
      </c>
      <c r="H57" s="1">
        <v>2014</v>
      </c>
      <c r="I57" s="1" t="s">
        <v>85</v>
      </c>
    </row>
    <row r="58" spans="1:11" x14ac:dyDescent="0.35">
      <c r="A58" s="1" t="s">
        <v>125</v>
      </c>
      <c r="B58" s="1" t="s">
        <v>126</v>
      </c>
      <c r="C58" s="1">
        <v>2015</v>
      </c>
      <c r="D58" s="1" t="s">
        <v>103</v>
      </c>
      <c r="E58" s="1" t="s">
        <v>107</v>
      </c>
      <c r="F58" s="1" t="s">
        <v>412</v>
      </c>
      <c r="G58" s="1" t="s">
        <v>159</v>
      </c>
      <c r="H58" s="1">
        <v>2014</v>
      </c>
      <c r="I58" s="1" t="s">
        <v>85</v>
      </c>
    </row>
    <row r="59" spans="1:11" x14ac:dyDescent="0.35">
      <c r="A59" s="1" t="s">
        <v>125</v>
      </c>
      <c r="B59" s="1" t="s">
        <v>126</v>
      </c>
      <c r="C59" s="1">
        <v>2015</v>
      </c>
      <c r="D59" s="1" t="s">
        <v>103</v>
      </c>
      <c r="E59" s="1" t="s">
        <v>107</v>
      </c>
      <c r="F59" s="1" t="s">
        <v>412</v>
      </c>
      <c r="G59" s="1" t="s">
        <v>108</v>
      </c>
      <c r="H59" s="1">
        <v>2014</v>
      </c>
      <c r="I59" s="1">
        <f>13.3*0.24</f>
        <v>3.1920000000000002</v>
      </c>
    </row>
    <row r="60" spans="1:11" x14ac:dyDescent="0.35">
      <c r="A60" s="1" t="s">
        <v>125</v>
      </c>
      <c r="B60" s="1" t="s">
        <v>126</v>
      </c>
      <c r="C60" s="1">
        <v>2015</v>
      </c>
      <c r="D60" s="1" t="s">
        <v>103</v>
      </c>
      <c r="E60" s="1" t="s">
        <v>101</v>
      </c>
      <c r="F60" s="1" t="s">
        <v>412</v>
      </c>
      <c r="G60" s="1" t="s">
        <v>102</v>
      </c>
      <c r="H60" s="1">
        <v>2014</v>
      </c>
      <c r="I60" s="1">
        <v>17.5</v>
      </c>
      <c r="K60" s="1" t="s">
        <v>339</v>
      </c>
    </row>
    <row r="61" spans="1:11" x14ac:dyDescent="0.35">
      <c r="A61" s="1" t="s">
        <v>125</v>
      </c>
      <c r="B61" s="1" t="s">
        <v>126</v>
      </c>
      <c r="C61" s="1">
        <v>2015</v>
      </c>
      <c r="D61" s="1" t="s">
        <v>103</v>
      </c>
      <c r="E61" s="1" t="s">
        <v>107</v>
      </c>
      <c r="F61" s="1" t="s">
        <v>412</v>
      </c>
      <c r="G61" s="1" t="s">
        <v>102</v>
      </c>
      <c r="H61" s="1">
        <v>2014</v>
      </c>
      <c r="I61" s="1">
        <v>13.3</v>
      </c>
      <c r="K61" s="1" t="s">
        <v>338</v>
      </c>
    </row>
  </sheetData>
  <autoFilter ref="A1:K9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"/>
  <sheetViews>
    <sheetView workbookViewId="0">
      <selection sqref="A1:H1"/>
    </sheetView>
  </sheetViews>
  <sheetFormatPr defaultColWidth="8.90625" defaultRowHeight="14.5" x14ac:dyDescent="0.35"/>
  <cols>
    <col min="1" max="4" width="8.90625" style="1"/>
    <col min="5" max="5" width="13.08984375" style="1" bestFit="1" customWidth="1"/>
    <col min="6" max="6" width="16.08984375" style="1" bestFit="1" customWidth="1"/>
    <col min="7" max="16384" width="8.90625" style="1"/>
  </cols>
  <sheetData>
    <row r="1" spans="1:8" x14ac:dyDescent="0.35">
      <c r="A1" s="2" t="s">
        <v>0</v>
      </c>
      <c r="B1" s="2" t="s">
        <v>27</v>
      </c>
      <c r="C1" s="2" t="s">
        <v>1</v>
      </c>
      <c r="D1" s="2" t="s">
        <v>385</v>
      </c>
      <c r="E1" s="2" t="s">
        <v>413</v>
      </c>
      <c r="F1" s="2" t="s">
        <v>414</v>
      </c>
      <c r="G1" s="2" t="s">
        <v>415</v>
      </c>
      <c r="H1" s="2" t="s">
        <v>371</v>
      </c>
    </row>
    <row r="2" spans="1:8" x14ac:dyDescent="0.35">
      <c r="A2" s="1" t="s">
        <v>125</v>
      </c>
      <c r="B2" s="1" t="s">
        <v>126</v>
      </c>
      <c r="C2" s="1">
        <v>1997</v>
      </c>
      <c r="D2" s="1">
        <v>1997</v>
      </c>
      <c r="E2" s="1">
        <v>16.8</v>
      </c>
      <c r="H2" s="1" t="s">
        <v>221</v>
      </c>
    </row>
    <row r="3" spans="1:8" x14ac:dyDescent="0.35">
      <c r="A3" s="1" t="s">
        <v>125</v>
      </c>
      <c r="B3" s="1" t="s">
        <v>126</v>
      </c>
      <c r="C3" s="1">
        <v>2002</v>
      </c>
      <c r="D3" s="1">
        <v>2002</v>
      </c>
      <c r="E3" s="1">
        <v>10.9</v>
      </c>
    </row>
    <row r="4" spans="1:8" x14ac:dyDescent="0.35">
      <c r="A4" s="1" t="s">
        <v>125</v>
      </c>
      <c r="B4" s="1" t="s">
        <v>126</v>
      </c>
      <c r="C4" s="1">
        <v>2003</v>
      </c>
      <c r="D4" s="1">
        <v>2003</v>
      </c>
      <c r="E4" s="1">
        <v>25.3</v>
      </c>
    </row>
    <row r="5" spans="1:8" x14ac:dyDescent="0.35">
      <c r="A5" s="1" t="s">
        <v>125</v>
      </c>
      <c r="B5" s="1" t="s">
        <v>126</v>
      </c>
      <c r="C5" s="1">
        <v>2007</v>
      </c>
      <c r="D5" s="1">
        <v>2006</v>
      </c>
      <c r="E5" s="1">
        <v>23.5</v>
      </c>
    </row>
    <row r="6" spans="1:8" x14ac:dyDescent="0.35">
      <c r="A6" s="1" t="s">
        <v>125</v>
      </c>
      <c r="B6" s="1" t="s">
        <v>126</v>
      </c>
      <c r="C6" s="1">
        <v>2011</v>
      </c>
      <c r="D6" s="1">
        <v>2011</v>
      </c>
      <c r="E6" s="1">
        <v>25</v>
      </c>
    </row>
    <row r="7" spans="1:8" x14ac:dyDescent="0.35">
      <c r="A7" s="1" t="s">
        <v>125</v>
      </c>
      <c r="B7" s="1" t="s">
        <v>126</v>
      </c>
      <c r="C7" s="1" t="s">
        <v>85</v>
      </c>
      <c r="D7" s="1">
        <v>2012</v>
      </c>
      <c r="E7" s="1">
        <v>26.5</v>
      </c>
    </row>
    <row r="8" spans="1:8" x14ac:dyDescent="0.35">
      <c r="A8" s="1" t="s">
        <v>125</v>
      </c>
      <c r="B8" s="1" t="s">
        <v>126</v>
      </c>
      <c r="C8" s="1" t="s">
        <v>85</v>
      </c>
      <c r="D8" s="1">
        <v>2013</v>
      </c>
      <c r="E8" s="1">
        <v>26.5</v>
      </c>
    </row>
    <row r="9" spans="1:8" x14ac:dyDescent="0.35">
      <c r="A9" s="1" t="s">
        <v>125</v>
      </c>
      <c r="B9" s="1" t="s">
        <v>126</v>
      </c>
      <c r="C9" s="1" t="s">
        <v>85</v>
      </c>
      <c r="D9" s="1">
        <v>2014</v>
      </c>
      <c r="E9" s="1">
        <v>24</v>
      </c>
    </row>
    <row r="10" spans="1:8" x14ac:dyDescent="0.35">
      <c r="A10" s="1" t="s">
        <v>125</v>
      </c>
      <c r="B10" s="1" t="s">
        <v>126</v>
      </c>
      <c r="C10" s="1" t="s">
        <v>85</v>
      </c>
      <c r="D10" s="1">
        <v>2015</v>
      </c>
      <c r="E10" s="1">
        <v>24</v>
      </c>
    </row>
    <row r="11" spans="1:8" x14ac:dyDescent="0.35">
      <c r="A11" s="1" t="s">
        <v>125</v>
      </c>
      <c r="B11" s="1" t="s">
        <v>126</v>
      </c>
      <c r="C11" s="1" t="s">
        <v>85</v>
      </c>
      <c r="D11" s="1">
        <v>2016</v>
      </c>
      <c r="E11" s="1">
        <v>24</v>
      </c>
    </row>
    <row r="12" spans="1:8" x14ac:dyDescent="0.35">
      <c r="A12" s="1" t="s">
        <v>125</v>
      </c>
      <c r="B12" s="1" t="s">
        <v>126</v>
      </c>
      <c r="C12" s="1" t="s">
        <v>85</v>
      </c>
      <c r="D12" s="1">
        <v>2017</v>
      </c>
      <c r="E12" s="1">
        <v>15.7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78"/>
  <sheetViews>
    <sheetView workbookViewId="0">
      <selection sqref="A1:M1"/>
    </sheetView>
  </sheetViews>
  <sheetFormatPr defaultColWidth="8.90625" defaultRowHeight="14.5" x14ac:dyDescent="0.35"/>
  <cols>
    <col min="1" max="1" width="10.08984375" style="1" bestFit="1" customWidth="1"/>
    <col min="2" max="4" width="8.90625" style="1"/>
    <col min="5" max="5" width="29.6328125" style="1" bestFit="1" customWidth="1"/>
    <col min="6" max="7" width="8.90625" style="1"/>
    <col min="8" max="8" width="11" style="1" bestFit="1" customWidth="1"/>
    <col min="9" max="10" width="8.90625" style="1"/>
    <col min="11" max="11" width="11" style="1" bestFit="1" customWidth="1"/>
    <col min="12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416</v>
      </c>
      <c r="F1" s="2" t="s">
        <v>384</v>
      </c>
      <c r="G1" s="2" t="s">
        <v>385</v>
      </c>
      <c r="H1" s="5" t="s">
        <v>112</v>
      </c>
      <c r="I1" s="4" t="s">
        <v>417</v>
      </c>
      <c r="J1" s="4" t="s">
        <v>32</v>
      </c>
      <c r="K1" s="2" t="s">
        <v>418</v>
      </c>
      <c r="L1" s="2" t="s">
        <v>419</v>
      </c>
      <c r="M1" s="4" t="s">
        <v>371</v>
      </c>
    </row>
    <row r="2" spans="1:13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176</v>
      </c>
      <c r="F2" s="1" t="s">
        <v>104</v>
      </c>
      <c r="G2" s="1">
        <v>1997</v>
      </c>
      <c r="H2" s="1">
        <v>182153000</v>
      </c>
      <c r="I2" s="1" t="s">
        <v>85</v>
      </c>
      <c r="J2" s="1" t="s">
        <v>190</v>
      </c>
      <c r="K2" s="17">
        <f>H2/(usage!$I$9*365*1000000)*100</f>
        <v>3.3628660045046708</v>
      </c>
      <c r="L2" s="17" t="s">
        <v>85</v>
      </c>
      <c r="M2" s="1" t="s">
        <v>210</v>
      </c>
    </row>
    <row r="3" spans="1:13" x14ac:dyDescent="0.35">
      <c r="A3" s="1" t="s">
        <v>125</v>
      </c>
      <c r="B3" s="1" t="s">
        <v>126</v>
      </c>
      <c r="C3" s="1">
        <v>1997</v>
      </c>
      <c r="D3" s="1" t="s">
        <v>103</v>
      </c>
      <c r="E3" s="1" t="s">
        <v>177</v>
      </c>
      <c r="F3" s="1" t="s">
        <v>8</v>
      </c>
      <c r="G3" s="1">
        <v>1997</v>
      </c>
      <c r="H3" s="1">
        <v>159414000</v>
      </c>
      <c r="I3" s="1" t="s">
        <v>85</v>
      </c>
      <c r="J3" s="1" t="s">
        <v>190</v>
      </c>
      <c r="K3" s="17">
        <f>H3/(usage!$I$9*365*1000000)*100</f>
        <v>2.9430639146327953</v>
      </c>
      <c r="L3" s="17" t="s">
        <v>85</v>
      </c>
      <c r="M3" s="1" t="s">
        <v>210</v>
      </c>
    </row>
    <row r="4" spans="1:13" x14ac:dyDescent="0.35">
      <c r="A4" s="1" t="s">
        <v>125</v>
      </c>
      <c r="B4" s="1" t="s">
        <v>126</v>
      </c>
      <c r="C4" s="1">
        <v>1997</v>
      </c>
      <c r="D4" s="1" t="s">
        <v>103</v>
      </c>
      <c r="E4" s="1" t="s">
        <v>175</v>
      </c>
      <c r="F4" s="1" t="s">
        <v>8</v>
      </c>
      <c r="G4" s="1">
        <v>1997</v>
      </c>
      <c r="H4" s="1">
        <v>144629000</v>
      </c>
      <c r="I4" s="1" t="s">
        <v>85</v>
      </c>
      <c r="J4" s="1" t="s">
        <v>190</v>
      </c>
      <c r="K4" s="17">
        <f>H4/(usage!$I$9*365*1000000)*100</f>
        <v>2.6701067090056494</v>
      </c>
      <c r="L4" s="17" t="s">
        <v>85</v>
      </c>
      <c r="M4" s="1" t="s">
        <v>210</v>
      </c>
    </row>
    <row r="5" spans="1:13" x14ac:dyDescent="0.35">
      <c r="A5" s="1" t="s">
        <v>125</v>
      </c>
      <c r="B5" s="1" t="s">
        <v>126</v>
      </c>
      <c r="C5" s="1">
        <v>1997</v>
      </c>
      <c r="D5" s="1" t="s">
        <v>103</v>
      </c>
      <c r="E5" s="1" t="s">
        <v>178</v>
      </c>
      <c r="F5" s="1" t="s">
        <v>105</v>
      </c>
      <c r="G5" s="1">
        <v>1997</v>
      </c>
      <c r="H5" s="1">
        <v>139556000</v>
      </c>
      <c r="I5" s="1" t="s">
        <v>85</v>
      </c>
      <c r="J5" s="1" t="s">
        <v>190</v>
      </c>
      <c r="K5" s="17">
        <f>H5/(usage!$I$9*365*1000000)*100</f>
        <v>2.5764501716944208</v>
      </c>
      <c r="L5" s="17" t="s">
        <v>85</v>
      </c>
      <c r="M5" s="1" t="s">
        <v>210</v>
      </c>
    </row>
    <row r="6" spans="1:13" x14ac:dyDescent="0.35">
      <c r="A6" s="1" t="s">
        <v>125</v>
      </c>
      <c r="B6" s="1" t="s">
        <v>126</v>
      </c>
      <c r="C6" s="1">
        <v>1997</v>
      </c>
      <c r="D6" s="1" t="s">
        <v>103</v>
      </c>
      <c r="E6" s="1" t="s">
        <v>179</v>
      </c>
      <c r="F6" s="1" t="s">
        <v>180</v>
      </c>
      <c r="G6" s="1">
        <v>1997</v>
      </c>
      <c r="H6" s="1">
        <v>111606000</v>
      </c>
      <c r="I6" s="1" t="s">
        <v>85</v>
      </c>
      <c r="J6" s="1" t="s">
        <v>190</v>
      </c>
      <c r="K6" s="17">
        <f>H6/(usage!$I$9*365*1000000)*100</f>
        <v>2.0604438208470257</v>
      </c>
      <c r="L6" s="17" t="s">
        <v>85</v>
      </c>
      <c r="M6" s="1" t="s">
        <v>210</v>
      </c>
    </row>
    <row r="7" spans="1:13" x14ac:dyDescent="0.35">
      <c r="A7" s="1" t="s">
        <v>125</v>
      </c>
      <c r="B7" s="1" t="s">
        <v>126</v>
      </c>
      <c r="C7" s="1">
        <v>1997</v>
      </c>
      <c r="D7" s="1" t="s">
        <v>103</v>
      </c>
      <c r="E7" s="1" t="s">
        <v>181</v>
      </c>
      <c r="F7" s="1" t="s">
        <v>182</v>
      </c>
      <c r="G7" s="1">
        <v>1997</v>
      </c>
      <c r="H7" s="1">
        <v>105942000</v>
      </c>
      <c r="I7" s="1" t="s">
        <v>85</v>
      </c>
      <c r="J7" s="1" t="s">
        <v>190</v>
      </c>
      <c r="K7" s="17">
        <f>H7/(usage!$I$9*365*1000000)*100</f>
        <v>1.9558763800169847</v>
      </c>
      <c r="L7" s="17" t="s">
        <v>85</v>
      </c>
      <c r="M7" s="1" t="s">
        <v>210</v>
      </c>
    </row>
    <row r="8" spans="1:13" x14ac:dyDescent="0.35">
      <c r="A8" s="1" t="s">
        <v>125</v>
      </c>
      <c r="B8" s="1" t="s">
        <v>126</v>
      </c>
      <c r="C8" s="1">
        <v>1997</v>
      </c>
      <c r="D8" s="1" t="s">
        <v>103</v>
      </c>
      <c r="E8" s="1" t="s">
        <v>183</v>
      </c>
      <c r="F8" s="1" t="s">
        <v>187</v>
      </c>
      <c r="G8" s="1">
        <v>1997</v>
      </c>
      <c r="H8" s="1">
        <v>100346000</v>
      </c>
      <c r="I8" s="1" t="s">
        <v>85</v>
      </c>
      <c r="J8" s="1" t="s">
        <v>190</v>
      </c>
      <c r="K8" s="17">
        <f>H8/(usage!$I$9*365*1000000)*100</f>
        <v>1.8525643392534061</v>
      </c>
      <c r="L8" s="17" t="s">
        <v>85</v>
      </c>
      <c r="M8" s="1" t="s">
        <v>210</v>
      </c>
    </row>
    <row r="9" spans="1:13" x14ac:dyDescent="0.35">
      <c r="A9" s="1" t="s">
        <v>125</v>
      </c>
      <c r="B9" s="1" t="s">
        <v>126</v>
      </c>
      <c r="C9" s="1">
        <v>1997</v>
      </c>
      <c r="D9" s="1" t="s">
        <v>103</v>
      </c>
      <c r="E9" s="1" t="s">
        <v>184</v>
      </c>
      <c r="F9" s="1" t="s">
        <v>8</v>
      </c>
      <c r="G9" s="1">
        <v>1997</v>
      </c>
      <c r="H9" s="1">
        <v>62877000</v>
      </c>
      <c r="I9" s="1" t="s">
        <v>85</v>
      </c>
      <c r="J9" s="1" t="s">
        <v>190</v>
      </c>
      <c r="K9" s="17">
        <f>H9/(usage!$I$9*365*1000000)*100</f>
        <v>1.1608204408669645</v>
      </c>
      <c r="L9" s="17" t="s">
        <v>85</v>
      </c>
      <c r="M9" s="1" t="s">
        <v>210</v>
      </c>
    </row>
    <row r="10" spans="1:13" x14ac:dyDescent="0.35">
      <c r="A10" s="1" t="s">
        <v>125</v>
      </c>
      <c r="B10" s="1" t="s">
        <v>126</v>
      </c>
      <c r="C10" s="1">
        <v>1997</v>
      </c>
      <c r="D10" s="1" t="s">
        <v>103</v>
      </c>
      <c r="E10" s="1" t="s">
        <v>185</v>
      </c>
      <c r="F10" s="1" t="s">
        <v>104</v>
      </c>
      <c r="G10" s="1">
        <v>1997</v>
      </c>
      <c r="H10" s="1">
        <v>53337000</v>
      </c>
      <c r="I10" s="1" t="s">
        <v>85</v>
      </c>
      <c r="J10" s="1" t="s">
        <v>190</v>
      </c>
      <c r="K10" s="17">
        <f>H10/(usage!$I$9*365*1000000)*100</f>
        <v>0.98469519624856916</v>
      </c>
      <c r="L10" s="17" t="s">
        <v>85</v>
      </c>
      <c r="M10" s="1" t="s">
        <v>210</v>
      </c>
    </row>
    <row r="11" spans="1:13" x14ac:dyDescent="0.35">
      <c r="A11" s="1" t="s">
        <v>125</v>
      </c>
      <c r="B11" s="1" t="s">
        <v>126</v>
      </c>
      <c r="C11" s="1">
        <v>1997</v>
      </c>
      <c r="D11" s="1" t="s">
        <v>103</v>
      </c>
      <c r="E11" s="1" t="s">
        <v>186</v>
      </c>
      <c r="F11" s="1" t="s">
        <v>104</v>
      </c>
      <c r="G11" s="1">
        <v>1997</v>
      </c>
      <c r="H11" s="1">
        <v>38792000</v>
      </c>
      <c r="I11" s="1" t="s">
        <v>85</v>
      </c>
      <c r="J11" s="1" t="s">
        <v>190</v>
      </c>
      <c r="K11" s="17">
        <f>H11/(usage!$I$9*365*1000000)*100</f>
        <v>0.7161688143854078</v>
      </c>
      <c r="L11" s="17" t="s">
        <v>85</v>
      </c>
      <c r="M11" s="1" t="s">
        <v>210</v>
      </c>
    </row>
    <row r="12" spans="1:13" x14ac:dyDescent="0.35">
      <c r="A12" s="1" t="s">
        <v>125</v>
      </c>
      <c r="B12" s="1" t="s">
        <v>126</v>
      </c>
      <c r="C12" s="1">
        <v>1997</v>
      </c>
      <c r="D12" s="1" t="s">
        <v>103</v>
      </c>
      <c r="E12" s="1" t="s">
        <v>102</v>
      </c>
      <c r="F12" s="1" t="s">
        <v>102</v>
      </c>
      <c r="G12" s="1">
        <v>1997</v>
      </c>
      <c r="H12" s="1">
        <f>SUM(H2:H11)</f>
        <v>1098652000</v>
      </c>
      <c r="I12" s="1" t="s">
        <v>85</v>
      </c>
      <c r="J12" s="1" t="s">
        <v>191</v>
      </c>
      <c r="K12" s="17">
        <f>H12/(usage!$I$9*365*1000000)*100</f>
        <v>20.283055791455894</v>
      </c>
      <c r="L12" s="17" t="s">
        <v>85</v>
      </c>
      <c r="M12" s="1" t="s">
        <v>210</v>
      </c>
    </row>
    <row r="13" spans="1:13" x14ac:dyDescent="0.35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175</v>
      </c>
      <c r="F13" s="1" t="s">
        <v>8</v>
      </c>
      <c r="G13" s="1">
        <v>2002</v>
      </c>
      <c r="H13" s="1">
        <v>126222000</v>
      </c>
      <c r="I13" s="1" t="s">
        <v>85</v>
      </c>
      <c r="J13" s="1" t="s">
        <v>190</v>
      </c>
      <c r="K13" s="17">
        <f>H13/(usage!$I$9*365*1000000)*100</f>
        <v>2.3302809880736994</v>
      </c>
      <c r="L13" s="17" t="s">
        <v>85</v>
      </c>
      <c r="M13" s="1" t="s">
        <v>210</v>
      </c>
    </row>
    <row r="14" spans="1:13" x14ac:dyDescent="0.35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176</v>
      </c>
      <c r="F14" s="1" t="s">
        <v>104</v>
      </c>
      <c r="G14" s="1">
        <v>2002</v>
      </c>
      <c r="H14" s="1">
        <v>112815000</v>
      </c>
      <c r="I14" s="1" t="s">
        <v>85</v>
      </c>
      <c r="J14" s="1" t="s">
        <v>190</v>
      </c>
      <c r="K14" s="17">
        <f>H14/(usage!$I$20*365*1000000)*100</f>
        <v>2.9949824784963366</v>
      </c>
      <c r="L14" s="17" t="s">
        <v>85</v>
      </c>
      <c r="M14" s="1" t="s">
        <v>209</v>
      </c>
    </row>
    <row r="15" spans="1:13" x14ac:dyDescent="0.35">
      <c r="A15" s="1" t="s">
        <v>125</v>
      </c>
      <c r="B15" s="1" t="s">
        <v>126</v>
      </c>
      <c r="C15" s="1">
        <v>2002</v>
      </c>
      <c r="D15" s="1" t="s">
        <v>103</v>
      </c>
      <c r="E15" s="1" t="s">
        <v>205</v>
      </c>
      <c r="F15" s="1" t="s">
        <v>206</v>
      </c>
      <c r="G15" s="1">
        <v>2002</v>
      </c>
      <c r="H15" s="1">
        <v>72239300</v>
      </c>
      <c r="I15" s="1" t="s">
        <v>85</v>
      </c>
      <c r="J15" s="1" t="s">
        <v>190</v>
      </c>
      <c r="K15" s="17">
        <f>H15/(usage!$I$20*365*1000000)*100</f>
        <v>1.9177896357651059</v>
      </c>
      <c r="L15" s="17" t="s">
        <v>85</v>
      </c>
    </row>
    <row r="16" spans="1:13" x14ac:dyDescent="0.35">
      <c r="A16" s="1" t="s">
        <v>125</v>
      </c>
      <c r="B16" s="1" t="s">
        <v>126</v>
      </c>
      <c r="C16" s="1">
        <v>2002</v>
      </c>
      <c r="D16" s="1" t="s">
        <v>103</v>
      </c>
      <c r="E16" s="1" t="s">
        <v>177</v>
      </c>
      <c r="F16" s="1" t="s">
        <v>8</v>
      </c>
      <c r="G16" s="1">
        <v>2002</v>
      </c>
      <c r="H16" s="1">
        <v>67383000</v>
      </c>
      <c r="I16" s="1" t="s">
        <v>85</v>
      </c>
      <c r="J16" s="1" t="s">
        <v>190</v>
      </c>
      <c r="K16" s="17">
        <f>H16/(usage!$I$20*365*1000000)*100</f>
        <v>1.7888658808537752</v>
      </c>
      <c r="L16" s="17" t="s">
        <v>85</v>
      </c>
    </row>
    <row r="17" spans="1:12" x14ac:dyDescent="0.35">
      <c r="A17" s="1" t="s">
        <v>125</v>
      </c>
      <c r="B17" s="1" t="s">
        <v>126</v>
      </c>
      <c r="C17" s="1">
        <v>2002</v>
      </c>
      <c r="D17" s="1" t="s">
        <v>103</v>
      </c>
      <c r="E17" s="1" t="s">
        <v>207</v>
      </c>
      <c r="F17" s="1" t="s">
        <v>104</v>
      </c>
      <c r="G17" s="1">
        <v>2002</v>
      </c>
      <c r="H17" s="1">
        <v>58875250</v>
      </c>
      <c r="I17" s="1" t="s">
        <v>85</v>
      </c>
      <c r="J17" s="1" t="s">
        <v>190</v>
      </c>
      <c r="K17" s="17">
        <f>H17/(usage!$I$20*365*1000000)*100</f>
        <v>1.5630044069236488</v>
      </c>
      <c r="L17" s="17" t="s">
        <v>85</v>
      </c>
    </row>
    <row r="18" spans="1:12" x14ac:dyDescent="0.35">
      <c r="A18" s="1" t="s">
        <v>125</v>
      </c>
      <c r="B18" s="1" t="s">
        <v>126</v>
      </c>
      <c r="C18" s="1">
        <v>2002</v>
      </c>
      <c r="D18" s="1" t="s">
        <v>103</v>
      </c>
      <c r="E18" s="1" t="s">
        <v>184</v>
      </c>
      <c r="F18" s="1" t="s">
        <v>8</v>
      </c>
      <c r="G18" s="1">
        <v>2002</v>
      </c>
      <c r="H18" s="1">
        <v>41238750</v>
      </c>
      <c r="I18" s="1" t="s">
        <v>85</v>
      </c>
      <c r="J18" s="1" t="s">
        <v>190</v>
      </c>
      <c r="K18" s="17">
        <f>H18/(usage!$I$20*365*1000000)*100</f>
        <v>1.09479531697993</v>
      </c>
      <c r="L18" s="17" t="s">
        <v>85</v>
      </c>
    </row>
    <row r="19" spans="1:12" x14ac:dyDescent="0.35">
      <c r="A19" s="1" t="s">
        <v>125</v>
      </c>
      <c r="B19" s="1" t="s">
        <v>126</v>
      </c>
      <c r="C19" s="1">
        <v>2002</v>
      </c>
      <c r="D19" s="1" t="s">
        <v>103</v>
      </c>
      <c r="E19" s="1" t="s">
        <v>179</v>
      </c>
      <c r="F19" s="1" t="s">
        <v>180</v>
      </c>
      <c r="G19" s="1">
        <v>2002</v>
      </c>
      <c r="H19" s="1">
        <v>35313750</v>
      </c>
      <c r="I19" s="1" t="s">
        <v>85</v>
      </c>
      <c r="J19" s="1" t="s">
        <v>190</v>
      </c>
      <c r="K19" s="17">
        <f>H19/(usage!$I$20*365*1000000)*100</f>
        <v>0.9375</v>
      </c>
      <c r="L19" s="17" t="s">
        <v>85</v>
      </c>
    </row>
    <row r="20" spans="1:12" x14ac:dyDescent="0.35">
      <c r="A20" s="1" t="s">
        <v>125</v>
      </c>
      <c r="B20" s="1" t="s">
        <v>126</v>
      </c>
      <c r="C20" s="1">
        <v>2002</v>
      </c>
      <c r="D20" s="1" t="s">
        <v>103</v>
      </c>
      <c r="E20" s="1" t="s">
        <v>208</v>
      </c>
      <c r="F20" s="1" t="s">
        <v>8</v>
      </c>
      <c r="G20" s="1">
        <v>2002</v>
      </c>
      <c r="H20" s="1">
        <v>30510000</v>
      </c>
      <c r="I20" s="1" t="s">
        <v>85</v>
      </c>
      <c r="J20" s="1" t="s">
        <v>190</v>
      </c>
      <c r="K20" s="17">
        <f>H20/(usage!$I$20*365*1000000)*100</f>
        <v>0.80997132844855046</v>
      </c>
      <c r="L20" s="17" t="s">
        <v>85</v>
      </c>
    </row>
    <row r="21" spans="1:12" x14ac:dyDescent="0.35">
      <c r="A21" s="1" t="s">
        <v>125</v>
      </c>
      <c r="B21" s="1" t="s">
        <v>126</v>
      </c>
      <c r="C21" s="1">
        <v>2002</v>
      </c>
      <c r="D21" s="1" t="s">
        <v>103</v>
      </c>
      <c r="E21" s="1" t="s">
        <v>184</v>
      </c>
      <c r="F21" s="1" t="s">
        <v>8</v>
      </c>
      <c r="G21" s="1">
        <v>2002</v>
      </c>
      <c r="H21" s="1">
        <v>30275250</v>
      </c>
      <c r="I21" s="1" t="s">
        <v>85</v>
      </c>
      <c r="J21" s="1" t="s">
        <v>190</v>
      </c>
      <c r="K21" s="17">
        <f>H21/(usage!$I$20*365*1000000)*100</f>
        <v>0.80373924816820652</v>
      </c>
      <c r="L21" s="17" t="s">
        <v>85</v>
      </c>
    </row>
    <row r="22" spans="1:12" x14ac:dyDescent="0.35">
      <c r="A22" s="1" t="s">
        <v>125</v>
      </c>
      <c r="B22" s="1" t="s">
        <v>126</v>
      </c>
      <c r="C22" s="1">
        <v>2002</v>
      </c>
      <c r="D22" s="1" t="s">
        <v>103</v>
      </c>
      <c r="E22" s="1" t="s">
        <v>176</v>
      </c>
      <c r="F22" s="1" t="s">
        <v>104</v>
      </c>
      <c r="G22" s="1">
        <v>2002</v>
      </c>
      <c r="H22" s="1">
        <v>29658000</v>
      </c>
      <c r="I22" s="1" t="s">
        <v>85</v>
      </c>
      <c r="J22" s="1" t="s">
        <v>190</v>
      </c>
      <c r="K22" s="17">
        <f>H22/(usage!$I$20*365*1000000)*100</f>
        <v>0.78735266008282889</v>
      </c>
      <c r="L22" s="17" t="s">
        <v>85</v>
      </c>
    </row>
    <row r="23" spans="1:12" x14ac:dyDescent="0.35">
      <c r="A23" s="1" t="s">
        <v>125</v>
      </c>
      <c r="B23" s="1" t="s">
        <v>126</v>
      </c>
      <c r="C23" s="1">
        <v>2002</v>
      </c>
      <c r="D23" s="1" t="s">
        <v>103</v>
      </c>
      <c r="E23" s="1" t="s">
        <v>102</v>
      </c>
      <c r="F23" s="1" t="s">
        <v>102</v>
      </c>
      <c r="G23" s="1">
        <v>2002</v>
      </c>
      <c r="H23" s="1">
        <f>SUM(H13:H22)</f>
        <v>604530300</v>
      </c>
      <c r="I23" s="1" t="s">
        <v>85</v>
      </c>
      <c r="J23" s="1" t="s">
        <v>191</v>
      </c>
      <c r="K23" s="17">
        <f>H23/(usage!$I$20*365*1000000)*100</f>
        <v>16.04890888818095</v>
      </c>
      <c r="L23" s="1" t="s">
        <v>85</v>
      </c>
    </row>
    <row r="24" spans="1:12" x14ac:dyDescent="0.35">
      <c r="A24" s="1" t="s">
        <v>125</v>
      </c>
      <c r="B24" s="1" t="s">
        <v>126</v>
      </c>
      <c r="C24" s="1">
        <v>2003</v>
      </c>
      <c r="D24" s="1" t="s">
        <v>103</v>
      </c>
      <c r="E24" s="1" t="s">
        <v>213</v>
      </c>
      <c r="F24" s="1" t="s">
        <v>214</v>
      </c>
      <c r="G24" s="1">
        <v>2003</v>
      </c>
      <c r="H24" s="1">
        <v>170530000</v>
      </c>
      <c r="I24" s="1" t="s">
        <v>85</v>
      </c>
      <c r="J24" s="1" t="s">
        <v>190</v>
      </c>
      <c r="K24" s="17">
        <f>H24/(usage!$I$30*365*1000000)*100</f>
        <v>3.798418532130527</v>
      </c>
      <c r="L24" s="17" t="s">
        <v>85</v>
      </c>
    </row>
    <row r="25" spans="1:12" x14ac:dyDescent="0.35">
      <c r="A25" s="1" t="s">
        <v>125</v>
      </c>
      <c r="B25" s="1" t="s">
        <v>126</v>
      </c>
      <c r="C25" s="1">
        <v>2003</v>
      </c>
      <c r="D25" s="1" t="s">
        <v>103</v>
      </c>
      <c r="E25" s="1" t="s">
        <v>175</v>
      </c>
      <c r="F25" s="1" t="s">
        <v>8</v>
      </c>
      <c r="G25" s="1">
        <v>2003</v>
      </c>
      <c r="H25" s="1">
        <v>122075250</v>
      </c>
      <c r="I25" s="1" t="s">
        <v>85</v>
      </c>
      <c r="J25" s="1" t="s">
        <v>190</v>
      </c>
      <c r="K25" s="17">
        <f>H25/(usage!$I$30*365*1000000)*100</f>
        <v>2.7191279652522553</v>
      </c>
      <c r="L25" s="17" t="s">
        <v>85</v>
      </c>
    </row>
    <row r="26" spans="1:12" x14ac:dyDescent="0.35">
      <c r="A26" s="1" t="s">
        <v>125</v>
      </c>
      <c r="B26" s="1" t="s">
        <v>126</v>
      </c>
      <c r="C26" s="1">
        <v>2003</v>
      </c>
      <c r="D26" s="1" t="s">
        <v>103</v>
      </c>
      <c r="E26" s="1" t="s">
        <v>176</v>
      </c>
      <c r="F26" s="1" t="s">
        <v>104</v>
      </c>
      <c r="G26" s="1">
        <v>2003</v>
      </c>
      <c r="H26" s="1">
        <v>104455500</v>
      </c>
      <c r="I26" s="1" t="s">
        <v>85</v>
      </c>
      <c r="J26" s="1" t="s">
        <v>190</v>
      </c>
      <c r="K26" s="17">
        <f>H26/(usage!$I$30*365*1000000)*100</f>
        <v>2.3266622118275975</v>
      </c>
      <c r="L26" s="17" t="s">
        <v>85</v>
      </c>
    </row>
    <row r="27" spans="1:12" x14ac:dyDescent="0.35">
      <c r="A27" s="1" t="s">
        <v>125</v>
      </c>
      <c r="B27" s="1" t="s">
        <v>126</v>
      </c>
      <c r="C27" s="1">
        <v>2003</v>
      </c>
      <c r="D27" s="1" t="s">
        <v>103</v>
      </c>
      <c r="E27" s="1" t="s">
        <v>181</v>
      </c>
      <c r="F27" s="1" t="s">
        <v>182</v>
      </c>
      <c r="G27" s="1">
        <v>2003</v>
      </c>
      <c r="H27" s="1">
        <v>102990056</v>
      </c>
      <c r="I27" s="1" t="s">
        <v>85</v>
      </c>
      <c r="J27" s="1" t="s">
        <v>190</v>
      </c>
      <c r="K27" s="17">
        <f>H27/(usage!$I$30*365*1000000)*100</f>
        <v>2.294020625904889</v>
      </c>
      <c r="L27" s="17" t="s">
        <v>85</v>
      </c>
    </row>
    <row r="28" spans="1:12" x14ac:dyDescent="0.35">
      <c r="A28" s="1" t="s">
        <v>125</v>
      </c>
      <c r="B28" s="1" t="s">
        <v>126</v>
      </c>
      <c r="C28" s="1">
        <v>2003</v>
      </c>
      <c r="D28" s="1" t="s">
        <v>103</v>
      </c>
      <c r="E28" s="1" t="s">
        <v>205</v>
      </c>
      <c r="F28" s="1" t="s">
        <v>206</v>
      </c>
      <c r="G28" s="1">
        <v>2003</v>
      </c>
      <c r="H28" s="1">
        <v>77920200</v>
      </c>
      <c r="I28" s="1" t="s">
        <v>85</v>
      </c>
      <c r="J28" s="1" t="s">
        <v>190</v>
      </c>
      <c r="K28" s="17">
        <f>H28/(usage!$I$30*365*1000000)*100</f>
        <v>1.735609756097561</v>
      </c>
      <c r="L28" s="17" t="s">
        <v>85</v>
      </c>
    </row>
    <row r="29" spans="1:12" x14ac:dyDescent="0.35">
      <c r="A29" s="1" t="s">
        <v>125</v>
      </c>
      <c r="B29" s="1" t="s">
        <v>126</v>
      </c>
      <c r="C29" s="1">
        <v>2003</v>
      </c>
      <c r="D29" s="1" t="s">
        <v>103</v>
      </c>
      <c r="E29" s="1" t="s">
        <v>207</v>
      </c>
      <c r="F29" s="1" t="s">
        <v>104</v>
      </c>
      <c r="G29" s="1">
        <v>2003</v>
      </c>
      <c r="H29" s="1">
        <v>53625000</v>
      </c>
      <c r="I29" s="1" t="s">
        <v>85</v>
      </c>
      <c r="J29" s="1" t="s">
        <v>190</v>
      </c>
      <c r="K29" s="17">
        <f>H29/(usage!$I$30*365*1000000)*100</f>
        <v>1.1944537253591714</v>
      </c>
      <c r="L29" s="17" t="s">
        <v>85</v>
      </c>
    </row>
    <row r="30" spans="1:12" x14ac:dyDescent="0.35">
      <c r="A30" s="1" t="s">
        <v>125</v>
      </c>
      <c r="B30" s="1" t="s">
        <v>126</v>
      </c>
      <c r="C30" s="1">
        <v>2003</v>
      </c>
      <c r="D30" s="1" t="s">
        <v>103</v>
      </c>
      <c r="E30" s="1" t="s">
        <v>178</v>
      </c>
      <c r="F30" s="1" t="s">
        <v>105</v>
      </c>
      <c r="G30" s="1">
        <v>2003</v>
      </c>
      <c r="H30" s="1">
        <v>42771750</v>
      </c>
      <c r="I30" s="1" t="s">
        <v>85</v>
      </c>
      <c r="J30" s="1" t="s">
        <v>190</v>
      </c>
      <c r="K30" s="17">
        <f>H30/(usage!$I$30*365*1000000)*100</f>
        <v>0.95270631473438028</v>
      </c>
      <c r="L30" s="17" t="s">
        <v>85</v>
      </c>
    </row>
    <row r="31" spans="1:12" x14ac:dyDescent="0.35">
      <c r="A31" s="1" t="s">
        <v>125</v>
      </c>
      <c r="B31" s="1" t="s">
        <v>126</v>
      </c>
      <c r="C31" s="1">
        <v>2003</v>
      </c>
      <c r="D31" s="1" t="s">
        <v>103</v>
      </c>
      <c r="E31" s="1" t="s">
        <v>181</v>
      </c>
      <c r="F31" s="1" t="s">
        <v>182</v>
      </c>
      <c r="G31" s="1">
        <v>2003</v>
      </c>
      <c r="H31" s="1">
        <v>36982500</v>
      </c>
      <c r="I31" s="1" t="s">
        <v>85</v>
      </c>
      <c r="J31" s="1" t="s">
        <v>190</v>
      </c>
      <c r="K31" s="17">
        <f>H31/(usage!$I$30*365*1000000)*100</f>
        <v>0.82375542933511536</v>
      </c>
      <c r="L31" s="17" t="s">
        <v>85</v>
      </c>
    </row>
    <row r="32" spans="1:12" x14ac:dyDescent="0.35">
      <c r="A32" s="1" t="s">
        <v>125</v>
      </c>
      <c r="B32" s="1" t="s">
        <v>126</v>
      </c>
      <c r="C32" s="1">
        <v>2003</v>
      </c>
      <c r="D32" s="1" t="s">
        <v>103</v>
      </c>
      <c r="E32" s="1" t="s">
        <v>177</v>
      </c>
      <c r="F32" s="1" t="s">
        <v>8</v>
      </c>
      <c r="G32" s="1">
        <v>2003</v>
      </c>
      <c r="H32" s="1">
        <v>35247000</v>
      </c>
      <c r="I32" s="1" t="s">
        <v>85</v>
      </c>
      <c r="J32" s="1" t="s">
        <v>190</v>
      </c>
      <c r="K32" s="17">
        <f>H32/(usage!$I$30*365*1000000)*100</f>
        <v>0.7850985633144002</v>
      </c>
      <c r="L32" s="17" t="s">
        <v>85</v>
      </c>
    </row>
    <row r="33" spans="1:13" x14ac:dyDescent="0.35">
      <c r="A33" s="1" t="s">
        <v>125</v>
      </c>
      <c r="B33" s="1" t="s">
        <v>126</v>
      </c>
      <c r="C33" s="1">
        <v>2003</v>
      </c>
      <c r="D33" s="1" t="s">
        <v>103</v>
      </c>
      <c r="E33" s="1" t="s">
        <v>208</v>
      </c>
      <c r="F33" s="1" t="s">
        <v>8</v>
      </c>
      <c r="G33" s="1">
        <v>2003</v>
      </c>
      <c r="H33" s="1">
        <v>32019750</v>
      </c>
      <c r="I33" s="1" t="s">
        <v>85</v>
      </c>
      <c r="J33" s="1" t="s">
        <v>190</v>
      </c>
      <c r="K33" s="17">
        <f>H33/(usage!$I$30*365*1000000)*100</f>
        <v>0.7132141663882392</v>
      </c>
      <c r="L33" s="17" t="s">
        <v>85</v>
      </c>
    </row>
    <row r="34" spans="1:13" x14ac:dyDescent="0.35">
      <c r="A34" s="1" t="s">
        <v>125</v>
      </c>
      <c r="B34" s="1" t="s">
        <v>126</v>
      </c>
      <c r="C34" s="1">
        <v>2003</v>
      </c>
      <c r="D34" s="1" t="s">
        <v>103</v>
      </c>
      <c r="E34" s="1" t="s">
        <v>102</v>
      </c>
      <c r="F34" s="1" t="s">
        <v>102</v>
      </c>
      <c r="G34" s="1">
        <v>2003</v>
      </c>
      <c r="H34" s="1">
        <f>SUM(H24:H33)</f>
        <v>778617006</v>
      </c>
      <c r="I34" s="1" t="s">
        <v>85</v>
      </c>
      <c r="J34" s="1" t="s">
        <v>191</v>
      </c>
      <c r="K34" s="17">
        <f>H34/(usage!$I$30*365*1000000)*100</f>
        <v>17.343067290344134</v>
      </c>
      <c r="L34" s="1" t="s">
        <v>85</v>
      </c>
    </row>
    <row r="35" spans="1:13" x14ac:dyDescent="0.35">
      <c r="A35" s="1" t="s">
        <v>125</v>
      </c>
      <c r="B35" s="1" t="s">
        <v>126</v>
      </c>
      <c r="C35" s="1">
        <v>2007</v>
      </c>
      <c r="D35" s="1" t="s">
        <v>103</v>
      </c>
      <c r="E35" s="1" t="s">
        <v>176</v>
      </c>
      <c r="F35" s="1" t="s">
        <v>104</v>
      </c>
      <c r="G35" s="1">
        <v>2007</v>
      </c>
      <c r="H35" s="1" t="s">
        <v>85</v>
      </c>
      <c r="I35" s="1">
        <v>1000782</v>
      </c>
      <c r="J35" s="1" t="s">
        <v>190</v>
      </c>
      <c r="K35" s="1" t="s">
        <v>85</v>
      </c>
      <c r="L35" s="24">
        <f>I35/fiscal!$Q$9*100</f>
        <v>6.8174270684652152</v>
      </c>
      <c r="M35" s="1" t="s">
        <v>227</v>
      </c>
    </row>
    <row r="36" spans="1:13" x14ac:dyDescent="0.35">
      <c r="A36" s="1" t="s">
        <v>125</v>
      </c>
      <c r="B36" s="1" t="s">
        <v>126</v>
      </c>
      <c r="C36" s="1">
        <v>2007</v>
      </c>
      <c r="D36" s="1" t="s">
        <v>103</v>
      </c>
      <c r="E36" s="1" t="s">
        <v>223</v>
      </c>
      <c r="F36" s="1" t="s">
        <v>8</v>
      </c>
      <c r="G36" s="1">
        <v>2007</v>
      </c>
      <c r="H36" s="1" t="s">
        <v>85</v>
      </c>
      <c r="I36" s="1">
        <v>506715</v>
      </c>
      <c r="J36" s="1" t="s">
        <v>190</v>
      </c>
      <c r="K36" s="1" t="s">
        <v>85</v>
      </c>
      <c r="L36" s="24">
        <f>I36/fiscal!$Q$9*100</f>
        <v>3.4517932546721983</v>
      </c>
      <c r="M36" s="1" t="s">
        <v>227</v>
      </c>
    </row>
    <row r="37" spans="1:13" x14ac:dyDescent="0.35">
      <c r="A37" s="1" t="s">
        <v>125</v>
      </c>
      <c r="B37" s="1" t="s">
        <v>126</v>
      </c>
      <c r="C37" s="1">
        <v>2007</v>
      </c>
      <c r="D37" s="1" t="s">
        <v>103</v>
      </c>
      <c r="E37" s="1" t="s">
        <v>181</v>
      </c>
      <c r="F37" s="1" t="s">
        <v>182</v>
      </c>
      <c r="G37" s="1">
        <v>2007</v>
      </c>
      <c r="H37" s="1" t="s">
        <v>85</v>
      </c>
      <c r="I37" s="1">
        <v>487730</v>
      </c>
      <c r="J37" s="1" t="s">
        <v>190</v>
      </c>
      <c r="K37" s="1" t="s">
        <v>85</v>
      </c>
      <c r="L37" s="24">
        <f>I37/fiscal!$Q$9*100</f>
        <v>3.3224655360533455</v>
      </c>
      <c r="M37" s="1" t="s">
        <v>227</v>
      </c>
    </row>
    <row r="38" spans="1:13" x14ac:dyDescent="0.35">
      <c r="A38" s="1" t="s">
        <v>125</v>
      </c>
      <c r="B38" s="1" t="s">
        <v>126</v>
      </c>
      <c r="C38" s="1">
        <v>2007</v>
      </c>
      <c r="D38" s="1" t="s">
        <v>103</v>
      </c>
      <c r="E38" s="1" t="s">
        <v>176</v>
      </c>
      <c r="F38" s="1" t="s">
        <v>104</v>
      </c>
      <c r="G38" s="1">
        <v>2007</v>
      </c>
      <c r="H38" s="1" t="s">
        <v>85</v>
      </c>
      <c r="I38" s="1">
        <v>408073</v>
      </c>
      <c r="J38" s="1" t="s">
        <v>190</v>
      </c>
      <c r="K38" s="1" t="s">
        <v>85</v>
      </c>
      <c r="L38" s="24">
        <f>I38/fiscal!$Q$9*100</f>
        <v>2.7798340858546675</v>
      </c>
      <c r="M38" s="1" t="s">
        <v>227</v>
      </c>
    </row>
    <row r="39" spans="1:13" x14ac:dyDescent="0.35">
      <c r="A39" s="1" t="s">
        <v>125</v>
      </c>
      <c r="B39" s="1" t="s">
        <v>126</v>
      </c>
      <c r="C39" s="1">
        <v>2007</v>
      </c>
      <c r="D39" s="1" t="s">
        <v>103</v>
      </c>
      <c r="E39" s="1" t="s">
        <v>179</v>
      </c>
      <c r="F39" s="1" t="s">
        <v>180</v>
      </c>
      <c r="G39" s="1">
        <v>2007</v>
      </c>
      <c r="H39" s="1" t="s">
        <v>85</v>
      </c>
      <c r="I39" s="1">
        <v>238667</v>
      </c>
      <c r="J39" s="1" t="s">
        <v>190</v>
      </c>
      <c r="K39" s="1" t="s">
        <v>85</v>
      </c>
      <c r="L39" s="24">
        <f>I39/fiscal!$Q$9*100</f>
        <v>1.6258234721941318</v>
      </c>
      <c r="M39" s="1" t="s">
        <v>227</v>
      </c>
    </row>
    <row r="40" spans="1:13" x14ac:dyDescent="0.35">
      <c r="A40" s="1" t="s">
        <v>125</v>
      </c>
      <c r="B40" s="1" t="s">
        <v>126</v>
      </c>
      <c r="C40" s="1">
        <v>2007</v>
      </c>
      <c r="D40" s="1" t="s">
        <v>103</v>
      </c>
      <c r="E40" s="1" t="s">
        <v>176</v>
      </c>
      <c r="F40" s="1" t="s">
        <v>104</v>
      </c>
      <c r="G40" s="1">
        <v>2007</v>
      </c>
      <c r="H40" s="1" t="s">
        <v>85</v>
      </c>
      <c r="I40" s="1">
        <v>237942</v>
      </c>
      <c r="J40" s="1" t="s">
        <v>190</v>
      </c>
      <c r="K40" s="1" t="s">
        <v>85</v>
      </c>
      <c r="L40" s="24">
        <f>I40/fiscal!$Q$9*100</f>
        <v>1.6208846996895929</v>
      </c>
      <c r="M40" s="1" t="s">
        <v>227</v>
      </c>
    </row>
    <row r="41" spans="1:13" x14ac:dyDescent="0.35">
      <c r="A41" s="1" t="s">
        <v>125</v>
      </c>
      <c r="B41" s="1" t="s">
        <v>126</v>
      </c>
      <c r="C41" s="1">
        <v>2007</v>
      </c>
      <c r="D41" s="1" t="s">
        <v>103</v>
      </c>
      <c r="E41" s="1" t="s">
        <v>177</v>
      </c>
      <c r="F41" s="1" t="s">
        <v>8</v>
      </c>
      <c r="G41" s="1">
        <v>2007</v>
      </c>
      <c r="H41" s="1" t="s">
        <v>85</v>
      </c>
      <c r="I41" s="1">
        <v>219316</v>
      </c>
      <c r="J41" s="1" t="s">
        <v>190</v>
      </c>
      <c r="K41" s="1" t="s">
        <v>85</v>
      </c>
      <c r="L41" s="24">
        <f>I41/fiscal!$Q$9*100</f>
        <v>1.4940025249729882</v>
      </c>
      <c r="M41" s="1" t="s">
        <v>227</v>
      </c>
    </row>
    <row r="42" spans="1:13" x14ac:dyDescent="0.35">
      <c r="A42" s="1" t="s">
        <v>125</v>
      </c>
      <c r="B42" s="1" t="s">
        <v>126</v>
      </c>
      <c r="C42" s="1">
        <v>2007</v>
      </c>
      <c r="D42" s="1" t="s">
        <v>103</v>
      </c>
      <c r="E42" s="1" t="s">
        <v>224</v>
      </c>
      <c r="F42" s="1" t="s">
        <v>104</v>
      </c>
      <c r="G42" s="1">
        <v>2007</v>
      </c>
      <c r="H42" s="1" t="s">
        <v>85</v>
      </c>
      <c r="I42" s="1">
        <v>178173</v>
      </c>
      <c r="J42" s="1" t="s">
        <v>190</v>
      </c>
      <c r="K42" s="1" t="s">
        <v>85</v>
      </c>
      <c r="L42" s="24">
        <f>I42/fiscal!$Q$9*100</f>
        <v>1.2137322944154201</v>
      </c>
      <c r="M42" s="1" t="s">
        <v>227</v>
      </c>
    </row>
    <row r="43" spans="1:13" x14ac:dyDescent="0.35">
      <c r="A43" s="1" t="s">
        <v>125</v>
      </c>
      <c r="B43" s="1" t="s">
        <v>126</v>
      </c>
      <c r="C43" s="1">
        <v>2007</v>
      </c>
      <c r="D43" s="1" t="s">
        <v>103</v>
      </c>
      <c r="E43" s="1" t="s">
        <v>225</v>
      </c>
      <c r="F43" s="1" t="s">
        <v>104</v>
      </c>
      <c r="G43" s="1">
        <v>2007</v>
      </c>
      <c r="H43" s="1" t="s">
        <v>85</v>
      </c>
      <c r="I43" s="1">
        <v>123421</v>
      </c>
      <c r="J43" s="1" t="s">
        <v>190</v>
      </c>
      <c r="K43" s="1" t="s">
        <v>85</v>
      </c>
      <c r="L43" s="24">
        <f>I43/fiscal!$Q$9*100</f>
        <v>0.84075619487265496</v>
      </c>
      <c r="M43" s="1" t="s">
        <v>227</v>
      </c>
    </row>
    <row r="44" spans="1:13" x14ac:dyDescent="0.35">
      <c r="A44" s="1" t="s">
        <v>125</v>
      </c>
      <c r="B44" s="1" t="s">
        <v>126</v>
      </c>
      <c r="C44" s="1">
        <v>2007</v>
      </c>
      <c r="D44" s="1" t="s">
        <v>103</v>
      </c>
      <c r="E44" s="1" t="s">
        <v>226</v>
      </c>
      <c r="F44" s="1" t="s">
        <v>8</v>
      </c>
      <c r="G44" s="1">
        <v>2007</v>
      </c>
      <c r="H44" s="1" t="s">
        <v>85</v>
      </c>
      <c r="I44" s="1">
        <v>130561</v>
      </c>
      <c r="J44" s="1" t="s">
        <v>190</v>
      </c>
      <c r="K44" s="1" t="s">
        <v>85</v>
      </c>
      <c r="L44" s="24">
        <f>I44/fiscal!$Q$9*100</f>
        <v>0.88939458891735357</v>
      </c>
      <c r="M44" s="1" t="s">
        <v>227</v>
      </c>
    </row>
    <row r="45" spans="1:13" x14ac:dyDescent="0.35">
      <c r="A45" s="1" t="s">
        <v>125</v>
      </c>
      <c r="B45" s="1" t="s">
        <v>126</v>
      </c>
      <c r="C45" s="1">
        <v>2007</v>
      </c>
      <c r="D45" s="1" t="s">
        <v>103</v>
      </c>
      <c r="E45" s="1" t="s">
        <v>102</v>
      </c>
      <c r="F45" s="1" t="s">
        <v>102</v>
      </c>
      <c r="G45" s="1">
        <v>2007</v>
      </c>
      <c r="H45" s="1" t="s">
        <v>85</v>
      </c>
      <c r="I45" s="1">
        <f>SUM(I35:I44)</f>
        <v>3531380</v>
      </c>
      <c r="J45" s="1" t="s">
        <v>191</v>
      </c>
      <c r="K45" s="1" t="s">
        <v>85</v>
      </c>
      <c r="L45" s="24">
        <f>I45/fiscal!$Q$9*100</f>
        <v>24.056113720107568</v>
      </c>
      <c r="M45" s="1" t="s">
        <v>227</v>
      </c>
    </row>
    <row r="46" spans="1:13" x14ac:dyDescent="0.35">
      <c r="A46" s="1" t="s">
        <v>125</v>
      </c>
      <c r="B46" s="1" t="s">
        <v>126</v>
      </c>
      <c r="C46" s="1">
        <v>2011</v>
      </c>
      <c r="D46" s="1" t="s">
        <v>103</v>
      </c>
      <c r="E46" s="1" t="s">
        <v>178</v>
      </c>
      <c r="F46" s="1" t="s">
        <v>105</v>
      </c>
      <c r="G46" s="1">
        <v>2011</v>
      </c>
      <c r="H46" s="25">
        <v>133650170</v>
      </c>
      <c r="I46" s="1">
        <v>1711.08</v>
      </c>
      <c r="J46" s="1" t="s">
        <v>190</v>
      </c>
      <c r="K46" s="17">
        <f>H46/(usage!$I$50*365*1000000)*100</f>
        <v>2.3885508761583072</v>
      </c>
      <c r="L46" s="24">
        <f>I46/fiscal!$U$9*100</f>
        <v>8.1519692326382717E-3</v>
      </c>
      <c r="M46" s="1" t="s">
        <v>308</v>
      </c>
    </row>
    <row r="47" spans="1:13" x14ac:dyDescent="0.35">
      <c r="A47" s="1" t="s">
        <v>125</v>
      </c>
      <c r="B47" s="1" t="s">
        <v>126</v>
      </c>
      <c r="C47" s="1">
        <v>2011</v>
      </c>
      <c r="D47" s="1" t="s">
        <v>103</v>
      </c>
      <c r="E47" s="1" t="s">
        <v>295</v>
      </c>
      <c r="F47" s="1" t="s">
        <v>296</v>
      </c>
      <c r="G47" s="1">
        <v>2011</v>
      </c>
      <c r="H47" s="25">
        <v>432210100</v>
      </c>
      <c r="I47" s="1">
        <v>1272418</v>
      </c>
      <c r="J47" s="1" t="s">
        <v>190</v>
      </c>
      <c r="K47" s="17">
        <f>H47/(usage!$I$50*365*1000000)*100</f>
        <v>7.7243135047225868</v>
      </c>
      <c r="L47" s="24">
        <f>I47/fiscal!$U$9*100</f>
        <v>6.0620849913827088</v>
      </c>
      <c r="M47" s="1" t="s">
        <v>302</v>
      </c>
    </row>
    <row r="48" spans="1:13" x14ac:dyDescent="0.35">
      <c r="A48" s="1" t="s">
        <v>125</v>
      </c>
      <c r="B48" s="1" t="s">
        <v>126</v>
      </c>
      <c r="C48" s="1">
        <v>2011</v>
      </c>
      <c r="D48" s="1" t="s">
        <v>103</v>
      </c>
      <c r="E48" s="1" t="s">
        <v>181</v>
      </c>
      <c r="F48" s="1" t="s">
        <v>182</v>
      </c>
      <c r="G48" s="1">
        <v>2011</v>
      </c>
      <c r="H48" s="25">
        <v>21381480</v>
      </c>
      <c r="I48" s="1">
        <v>964445</v>
      </c>
      <c r="J48" s="1" t="s">
        <v>190</v>
      </c>
      <c r="K48" s="17">
        <f>H48/(usage!$I$50*365*1000000)*100</f>
        <v>0.38212261748384851</v>
      </c>
      <c r="L48" s="24">
        <f>I48/fiscal!$U$9*100</f>
        <v>4.5948324839118095</v>
      </c>
    </row>
    <row r="49" spans="1:12" x14ac:dyDescent="0.35">
      <c r="A49" s="1" t="s">
        <v>125</v>
      </c>
      <c r="B49" s="1" t="s">
        <v>126</v>
      </c>
      <c r="C49" s="1">
        <v>2011</v>
      </c>
      <c r="D49" s="1" t="s">
        <v>103</v>
      </c>
      <c r="E49" s="1" t="s">
        <v>175</v>
      </c>
      <c r="F49" s="1" t="s">
        <v>8</v>
      </c>
      <c r="G49" s="1">
        <v>2011</v>
      </c>
      <c r="H49" s="25">
        <v>132252500</v>
      </c>
      <c r="I49" s="1">
        <v>778264</v>
      </c>
      <c r="J49" s="1" t="s">
        <v>190</v>
      </c>
      <c r="K49" s="17">
        <f>H49/(usage!$I$50*365*1000000)*100</f>
        <v>2.3635721881171308</v>
      </c>
      <c r="L49" s="24">
        <f>I49/fiscal!$U$9*100</f>
        <v>3.7078244049781386</v>
      </c>
    </row>
    <row r="50" spans="1:12" x14ac:dyDescent="0.35">
      <c r="A50" s="1" t="s">
        <v>125</v>
      </c>
      <c r="B50" s="1" t="s">
        <v>126</v>
      </c>
      <c r="C50" s="1">
        <v>2011</v>
      </c>
      <c r="D50" s="1" t="s">
        <v>103</v>
      </c>
      <c r="E50" s="1" t="s">
        <v>297</v>
      </c>
      <c r="F50" s="1" t="s">
        <v>104</v>
      </c>
      <c r="G50" s="1">
        <v>2011</v>
      </c>
      <c r="H50" s="25">
        <v>7247820</v>
      </c>
      <c r="I50" s="1">
        <v>599414</v>
      </c>
      <c r="J50" s="1" t="s">
        <v>190</v>
      </c>
      <c r="K50" s="17">
        <f>H50/(usage!$I$50*365*1000000)*100</f>
        <v>0.12953060075597136</v>
      </c>
      <c r="L50" s="24">
        <f>I50/fiscal!$U$9*100</f>
        <v>2.8557428557476201</v>
      </c>
    </row>
    <row r="51" spans="1:12" x14ac:dyDescent="0.35">
      <c r="A51" s="1" t="s">
        <v>125</v>
      </c>
      <c r="B51" s="1" t="s">
        <v>126</v>
      </c>
      <c r="C51" s="1">
        <v>2011</v>
      </c>
      <c r="D51" s="1" t="s">
        <v>103</v>
      </c>
      <c r="E51" s="1" t="s">
        <v>176</v>
      </c>
      <c r="F51" s="1" t="s">
        <v>104</v>
      </c>
      <c r="G51" s="1">
        <v>2011</v>
      </c>
      <c r="H51" s="25">
        <v>95628830</v>
      </c>
      <c r="I51" s="1">
        <v>487788</v>
      </c>
      <c r="J51" s="1" t="s">
        <v>190</v>
      </c>
      <c r="K51" s="17">
        <f>H51/(usage!$I$50*365*1000000)*100</f>
        <v>1.7090462786728502</v>
      </c>
      <c r="L51" s="24">
        <f>I51/fiscal!$U$9*100</f>
        <v>2.3239315333299189</v>
      </c>
    </row>
    <row r="52" spans="1:12" x14ac:dyDescent="0.35">
      <c r="A52" s="1" t="s">
        <v>125</v>
      </c>
      <c r="B52" s="1" t="s">
        <v>126</v>
      </c>
      <c r="C52" s="1">
        <v>2011</v>
      </c>
      <c r="D52" s="1" t="s">
        <v>103</v>
      </c>
      <c r="E52" s="1" t="s">
        <v>176</v>
      </c>
      <c r="F52" s="1" t="s">
        <v>104</v>
      </c>
      <c r="G52" s="1">
        <v>2011</v>
      </c>
      <c r="H52" s="25">
        <v>30705140</v>
      </c>
      <c r="I52" s="1">
        <v>481174</v>
      </c>
      <c r="J52" s="1" t="s">
        <v>190</v>
      </c>
      <c r="K52" s="17">
        <f>H52/(usage!$I$50*365*1000000)*100</f>
        <v>0.54875193237362507</v>
      </c>
      <c r="L52" s="24">
        <f>I52/fiscal!$U$9*100</f>
        <v>2.2924209525828649</v>
      </c>
    </row>
    <row r="53" spans="1:12" x14ac:dyDescent="0.35">
      <c r="A53" s="1" t="s">
        <v>125</v>
      </c>
      <c r="B53" s="1" t="s">
        <v>126</v>
      </c>
      <c r="C53" s="1">
        <v>2011</v>
      </c>
      <c r="D53" s="1" t="s">
        <v>103</v>
      </c>
      <c r="E53" s="1" t="s">
        <v>298</v>
      </c>
      <c r="F53" s="1" t="s">
        <v>299</v>
      </c>
      <c r="G53" s="1">
        <v>2011</v>
      </c>
      <c r="H53" s="25">
        <v>27549530</v>
      </c>
      <c r="I53" s="1">
        <v>414192</v>
      </c>
      <c r="J53" s="1" t="s">
        <v>190</v>
      </c>
      <c r="K53" s="17">
        <f>H53/(usage!$I$50*365*1000000)*100</f>
        <v>0.49235593205193506</v>
      </c>
      <c r="L53" s="24">
        <f>I53/fiscal!$U$9*100</f>
        <v>1.9733036680955371</v>
      </c>
    </row>
    <row r="54" spans="1:12" x14ac:dyDescent="0.35">
      <c r="A54" s="1" t="s">
        <v>125</v>
      </c>
      <c r="B54" s="1" t="s">
        <v>126</v>
      </c>
      <c r="C54" s="1">
        <v>2011</v>
      </c>
      <c r="D54" s="1" t="s">
        <v>103</v>
      </c>
      <c r="E54" s="1" t="s">
        <v>207</v>
      </c>
      <c r="F54" s="1" t="s">
        <v>104</v>
      </c>
      <c r="G54" s="1">
        <v>2011</v>
      </c>
      <c r="H54" s="25">
        <v>72054170</v>
      </c>
      <c r="I54" s="1">
        <v>386721</v>
      </c>
      <c r="J54" s="1" t="s">
        <v>190</v>
      </c>
      <c r="K54" s="17">
        <f>H54/(usage!$I$50*365*1000000)*100</f>
        <v>1.287727886050273</v>
      </c>
      <c r="L54" s="24">
        <f>I54/fiscal!$U$9*100</f>
        <v>1.8424256572545441</v>
      </c>
    </row>
    <row r="55" spans="1:12" x14ac:dyDescent="0.35">
      <c r="A55" s="1" t="s">
        <v>125</v>
      </c>
      <c r="B55" s="1" t="s">
        <v>126</v>
      </c>
      <c r="C55" s="1">
        <v>2011</v>
      </c>
      <c r="D55" s="1" t="s">
        <v>103</v>
      </c>
      <c r="E55" s="1" t="s">
        <v>300</v>
      </c>
      <c r="F55" s="1" t="s">
        <v>301</v>
      </c>
      <c r="G55" s="1">
        <v>2011</v>
      </c>
      <c r="H55" s="25">
        <v>9664900</v>
      </c>
      <c r="I55" s="1">
        <v>305796</v>
      </c>
      <c r="J55" s="1" t="s">
        <v>190</v>
      </c>
      <c r="K55" s="17">
        <f>H55/(usage!$I$50*365*1000000)*100</f>
        <v>0.17272784137111402</v>
      </c>
      <c r="L55" s="24">
        <f>I55/fiscal!$U$9*100</f>
        <v>1.4568807907659802</v>
      </c>
    </row>
    <row r="56" spans="1:12" x14ac:dyDescent="0.35">
      <c r="A56" s="1" t="s">
        <v>125</v>
      </c>
      <c r="B56" s="1" t="s">
        <v>126</v>
      </c>
      <c r="C56" s="1">
        <v>2011</v>
      </c>
      <c r="D56" s="1" t="s">
        <v>103</v>
      </c>
      <c r="E56" s="1" t="s">
        <v>102</v>
      </c>
      <c r="F56" s="1" t="s">
        <v>102</v>
      </c>
      <c r="G56" s="1">
        <v>2011</v>
      </c>
      <c r="H56" s="1">
        <f>SUM(H46:H55)</f>
        <v>962344640</v>
      </c>
      <c r="I56" s="1">
        <f>SUM(I46:I55)</f>
        <v>5691923.0800000001</v>
      </c>
      <c r="J56" s="1" t="s">
        <v>191</v>
      </c>
      <c r="K56" s="17">
        <f>H56/(usage!$I$50*365*1000000)*100</f>
        <v>17.198699657757643</v>
      </c>
      <c r="L56" s="24">
        <f>I56/fiscal!$U$9*100</f>
        <v>27.117599307281758</v>
      </c>
    </row>
    <row r="57" spans="1:12" x14ac:dyDescent="0.35">
      <c r="A57" s="1" t="s">
        <v>125</v>
      </c>
      <c r="B57" s="1" t="s">
        <v>126</v>
      </c>
      <c r="C57" s="1" t="s">
        <v>85</v>
      </c>
      <c r="D57" s="1" t="s">
        <v>103</v>
      </c>
      <c r="E57" s="1" t="s">
        <v>295</v>
      </c>
      <c r="F57" s="1" t="s">
        <v>296</v>
      </c>
      <c r="G57" s="1">
        <v>2012</v>
      </c>
      <c r="H57" s="1">
        <v>254749620</v>
      </c>
      <c r="I57" s="1">
        <v>2132209</v>
      </c>
      <c r="J57" s="1" t="s">
        <v>190</v>
      </c>
      <c r="K57" s="1" t="s">
        <v>85</v>
      </c>
      <c r="L57" s="24">
        <f>I57/fiscal!$W$9*100</f>
        <v>8.8115773107263866</v>
      </c>
    </row>
    <row r="58" spans="1:12" x14ac:dyDescent="0.35">
      <c r="A58" s="1" t="s">
        <v>125</v>
      </c>
      <c r="B58" s="1" t="s">
        <v>126</v>
      </c>
      <c r="C58" s="1" t="s">
        <v>85</v>
      </c>
      <c r="D58" s="1" t="s">
        <v>103</v>
      </c>
      <c r="E58" s="1" t="s">
        <v>176</v>
      </c>
      <c r="F58" s="1" t="s">
        <v>104</v>
      </c>
      <c r="G58" s="1">
        <v>2012</v>
      </c>
      <c r="H58" s="1">
        <v>77103036</v>
      </c>
      <c r="I58" s="1">
        <v>626831</v>
      </c>
      <c r="J58" s="1" t="s">
        <v>190</v>
      </c>
      <c r="K58" s="1" t="s">
        <v>85</v>
      </c>
      <c r="L58" s="24">
        <f>I58/fiscal!$W$9*100</f>
        <v>2.5904448472264829</v>
      </c>
    </row>
    <row r="59" spans="1:12" x14ac:dyDescent="0.35">
      <c r="A59" s="1" t="s">
        <v>125</v>
      </c>
      <c r="B59" s="1" t="s">
        <v>126</v>
      </c>
      <c r="C59" s="1" t="s">
        <v>85</v>
      </c>
      <c r="D59" s="1" t="s">
        <v>103</v>
      </c>
      <c r="E59" s="1" t="s">
        <v>176</v>
      </c>
      <c r="F59" s="1" t="s">
        <v>104</v>
      </c>
      <c r="G59" s="1">
        <v>2012</v>
      </c>
      <c r="H59" s="1">
        <v>54765146</v>
      </c>
      <c r="I59" s="1">
        <v>523567</v>
      </c>
      <c r="J59" s="1" t="s">
        <v>190</v>
      </c>
      <c r="K59" s="1" t="s">
        <v>85</v>
      </c>
      <c r="L59" s="24">
        <f>I59/fiscal!$W$9*100</f>
        <v>2.1636955372785134</v>
      </c>
    </row>
    <row r="60" spans="1:12" x14ac:dyDescent="0.35">
      <c r="A60" s="1" t="s">
        <v>125</v>
      </c>
      <c r="B60" s="1" t="s">
        <v>126</v>
      </c>
      <c r="C60" s="1" t="s">
        <v>85</v>
      </c>
      <c r="D60" s="1" t="s">
        <v>103</v>
      </c>
      <c r="E60" s="1" t="s">
        <v>207</v>
      </c>
      <c r="F60" s="1" t="s">
        <v>104</v>
      </c>
      <c r="G60" s="1">
        <v>2012</v>
      </c>
      <c r="H60" s="1">
        <v>41699760</v>
      </c>
      <c r="I60" s="1">
        <v>502651</v>
      </c>
      <c r="J60" s="1" t="s">
        <v>190</v>
      </c>
      <c r="K60" s="1" t="s">
        <v>85</v>
      </c>
      <c r="L60" s="24">
        <f>I60/fiscal!$W$9*100</f>
        <v>2.0772579736854735</v>
      </c>
    </row>
    <row r="61" spans="1:12" x14ac:dyDescent="0.35">
      <c r="A61" s="1" t="s">
        <v>125</v>
      </c>
      <c r="B61" s="1" t="s">
        <v>126</v>
      </c>
      <c r="C61" s="1" t="s">
        <v>85</v>
      </c>
      <c r="D61" s="1" t="s">
        <v>103</v>
      </c>
      <c r="E61" s="1" t="s">
        <v>223</v>
      </c>
      <c r="F61" s="1" t="s">
        <v>8</v>
      </c>
      <c r="G61" s="1">
        <v>2012</v>
      </c>
      <c r="H61" s="1">
        <v>73235850</v>
      </c>
      <c r="I61" s="1">
        <v>467713</v>
      </c>
      <c r="J61" s="1" t="s">
        <v>190</v>
      </c>
      <c r="K61" s="1" t="s">
        <v>85</v>
      </c>
      <c r="L61" s="24">
        <f>I61/fiscal!$W$9*100</f>
        <v>1.9328730245167198</v>
      </c>
    </row>
    <row r="62" spans="1:12" x14ac:dyDescent="0.35">
      <c r="A62" s="1" t="s">
        <v>125</v>
      </c>
      <c r="B62" s="1" t="s">
        <v>126</v>
      </c>
      <c r="C62" s="1" t="s">
        <v>85</v>
      </c>
      <c r="D62" s="1" t="s">
        <v>103</v>
      </c>
      <c r="E62" s="1" t="s">
        <v>208</v>
      </c>
      <c r="F62" s="1" t="s">
        <v>8</v>
      </c>
      <c r="G62" s="1">
        <v>2012</v>
      </c>
      <c r="H62" s="1">
        <v>28861886</v>
      </c>
      <c r="I62" s="1">
        <v>325164</v>
      </c>
      <c r="J62" s="1" t="s">
        <v>190</v>
      </c>
      <c r="K62" s="1" t="s">
        <v>85</v>
      </c>
      <c r="L62" s="24">
        <f>I62/fiscal!$W$9*100</f>
        <v>1.3437743320026483</v>
      </c>
    </row>
    <row r="63" spans="1:12" x14ac:dyDescent="0.35">
      <c r="A63" s="1" t="s">
        <v>125</v>
      </c>
      <c r="B63" s="1" t="s">
        <v>126</v>
      </c>
      <c r="C63" s="1" t="s">
        <v>85</v>
      </c>
      <c r="D63" s="1" t="s">
        <v>103</v>
      </c>
      <c r="E63" s="1" t="s">
        <v>317</v>
      </c>
      <c r="F63" s="1" t="s">
        <v>105</v>
      </c>
      <c r="G63" s="1">
        <v>2012</v>
      </c>
      <c r="H63" s="1">
        <v>40379467</v>
      </c>
      <c r="I63" s="1">
        <v>308001</v>
      </c>
      <c r="J63" s="1" t="s">
        <v>190</v>
      </c>
      <c r="K63" s="1" t="s">
        <v>85</v>
      </c>
      <c r="L63" s="24">
        <f>I63/fiscal!$W$9*100</f>
        <v>1.2728464345104245</v>
      </c>
    </row>
    <row r="64" spans="1:12" x14ac:dyDescent="0.35">
      <c r="A64" s="1" t="s">
        <v>125</v>
      </c>
      <c r="B64" s="1" t="s">
        <v>126</v>
      </c>
      <c r="C64" s="1" t="s">
        <v>85</v>
      </c>
      <c r="D64" s="1" t="s">
        <v>103</v>
      </c>
      <c r="E64" s="1" t="s">
        <v>176</v>
      </c>
      <c r="F64" s="1" t="s">
        <v>104</v>
      </c>
      <c r="G64" s="1">
        <v>2012</v>
      </c>
      <c r="H64" s="1">
        <v>25683263</v>
      </c>
      <c r="I64" s="1">
        <v>291711</v>
      </c>
      <c r="J64" s="1" t="s">
        <v>190</v>
      </c>
      <c r="K64" s="1" t="s">
        <v>85</v>
      </c>
      <c r="L64" s="24">
        <f>I64/fiscal!$W$9*100</f>
        <v>1.2055263010752253</v>
      </c>
    </row>
    <row r="65" spans="1:12" x14ac:dyDescent="0.35">
      <c r="A65" s="1" t="s">
        <v>125</v>
      </c>
      <c r="B65" s="1" t="s">
        <v>126</v>
      </c>
      <c r="C65" s="1" t="s">
        <v>85</v>
      </c>
      <c r="D65" s="1" t="s">
        <v>103</v>
      </c>
      <c r="E65" s="1" t="s">
        <v>318</v>
      </c>
      <c r="F65" s="1" t="s">
        <v>8</v>
      </c>
      <c r="G65" s="1">
        <v>2012</v>
      </c>
      <c r="H65" s="1">
        <v>12261003</v>
      </c>
      <c r="I65" s="1">
        <v>278243</v>
      </c>
      <c r="J65" s="1" t="s">
        <v>190</v>
      </c>
      <c r="K65" s="1" t="s">
        <v>85</v>
      </c>
      <c r="L65" s="24">
        <f>I65/fiscal!$W$9*100</f>
        <v>1.1498683786009918</v>
      </c>
    </row>
    <row r="66" spans="1:12" x14ac:dyDescent="0.35">
      <c r="A66" s="1" t="s">
        <v>125</v>
      </c>
      <c r="B66" s="1" t="s">
        <v>126</v>
      </c>
      <c r="C66" s="1" t="s">
        <v>85</v>
      </c>
      <c r="D66" s="1" t="s">
        <v>103</v>
      </c>
      <c r="E66" s="1" t="s">
        <v>181</v>
      </c>
      <c r="F66" s="1" t="s">
        <v>182</v>
      </c>
      <c r="G66" s="1">
        <v>2012</v>
      </c>
      <c r="H66" s="1">
        <v>54509013</v>
      </c>
      <c r="I66" s="1">
        <v>188000</v>
      </c>
      <c r="J66" s="1" t="s">
        <v>190</v>
      </c>
      <c r="K66" s="1" t="s">
        <v>85</v>
      </c>
      <c r="L66" s="24">
        <f>I66/fiscal!$W$9*100</f>
        <v>0.77692971674754252</v>
      </c>
    </row>
    <row r="67" spans="1:12" x14ac:dyDescent="0.35">
      <c r="A67" s="1" t="s">
        <v>125</v>
      </c>
      <c r="B67" s="1" t="s">
        <v>126</v>
      </c>
      <c r="C67" s="1" t="s">
        <v>85</v>
      </c>
      <c r="D67" s="1" t="s">
        <v>103</v>
      </c>
      <c r="E67" s="1" t="s">
        <v>179</v>
      </c>
      <c r="F67" s="1" t="s">
        <v>180</v>
      </c>
      <c r="G67" s="1">
        <v>2012</v>
      </c>
      <c r="H67" s="1">
        <v>49536240</v>
      </c>
      <c r="I67" s="1">
        <v>169780</v>
      </c>
      <c r="J67" s="1" t="s">
        <v>190</v>
      </c>
      <c r="K67" s="1" t="s">
        <v>85</v>
      </c>
      <c r="L67" s="24">
        <f>I67/fiscal!$W$9*100</f>
        <v>0.70163365590105187</v>
      </c>
    </row>
    <row r="68" spans="1:12" x14ac:dyDescent="0.35">
      <c r="A68" s="1" t="s">
        <v>125</v>
      </c>
      <c r="B68" s="1" t="s">
        <v>126</v>
      </c>
      <c r="C68" s="1" t="s">
        <v>85</v>
      </c>
      <c r="D68" s="1" t="s">
        <v>103</v>
      </c>
      <c r="E68" s="1" t="s">
        <v>178</v>
      </c>
      <c r="F68" s="1" t="s">
        <v>105</v>
      </c>
      <c r="G68" s="1">
        <v>2012</v>
      </c>
      <c r="H68" s="1">
        <v>11696664</v>
      </c>
      <c r="I68" s="1">
        <v>161489</v>
      </c>
      <c r="J68" s="1" t="s">
        <v>190</v>
      </c>
      <c r="K68" s="1" t="s">
        <v>85</v>
      </c>
      <c r="L68" s="24">
        <f>I68/fiscal!$W$9*100</f>
        <v>0.66737022887150999</v>
      </c>
    </row>
    <row r="69" spans="1:12" x14ac:dyDescent="0.35">
      <c r="A69" s="1" t="s">
        <v>125</v>
      </c>
      <c r="B69" s="1" t="s">
        <v>126</v>
      </c>
      <c r="C69" s="1" t="s">
        <v>85</v>
      </c>
      <c r="D69" s="1" t="s">
        <v>103</v>
      </c>
      <c r="E69" s="1" t="s">
        <v>175</v>
      </c>
      <c r="F69" s="1" t="s">
        <v>8</v>
      </c>
      <c r="G69" s="1">
        <v>2012</v>
      </c>
      <c r="H69" s="1">
        <v>11659600</v>
      </c>
      <c r="I69" s="1">
        <v>125035</v>
      </c>
      <c r="J69" s="1" t="s">
        <v>190</v>
      </c>
      <c r="K69" s="1" t="s">
        <v>85</v>
      </c>
      <c r="L69" s="24">
        <f>I69/fiscal!$W$9*100</f>
        <v>0.51672025071026051</v>
      </c>
    </row>
    <row r="70" spans="1:12" x14ac:dyDescent="0.35">
      <c r="A70" s="1" t="s">
        <v>125</v>
      </c>
      <c r="B70" s="1" t="s">
        <v>126</v>
      </c>
      <c r="C70" s="1" t="s">
        <v>85</v>
      </c>
      <c r="D70" s="1" t="s">
        <v>103</v>
      </c>
      <c r="E70" s="1" t="s">
        <v>319</v>
      </c>
      <c r="F70" s="1" t="s">
        <v>320</v>
      </c>
      <c r="G70" s="1">
        <v>2012</v>
      </c>
      <c r="H70" s="1">
        <v>16238626</v>
      </c>
      <c r="I70" s="1">
        <v>114651</v>
      </c>
      <c r="J70" s="1" t="s">
        <v>190</v>
      </c>
      <c r="K70" s="1" t="s">
        <v>85</v>
      </c>
      <c r="L70" s="24">
        <f>I70/fiscal!$W$9*100</f>
        <v>0.47380728167458769</v>
      </c>
    </row>
    <row r="71" spans="1:12" x14ac:dyDescent="0.35">
      <c r="A71" s="1" t="s">
        <v>125</v>
      </c>
      <c r="B71" s="1" t="s">
        <v>126</v>
      </c>
      <c r="C71" s="1" t="s">
        <v>85</v>
      </c>
      <c r="D71" s="1" t="s">
        <v>103</v>
      </c>
      <c r="E71" s="1" t="s">
        <v>102</v>
      </c>
      <c r="F71" s="1" t="s">
        <v>102</v>
      </c>
      <c r="G71" s="1">
        <v>2012</v>
      </c>
      <c r="H71" s="1">
        <f>SUM(H57:H70)</f>
        <v>752379174</v>
      </c>
      <c r="I71" s="1">
        <f>SUM(I57:I70)</f>
        <v>6215045</v>
      </c>
      <c r="J71" s="1" t="s">
        <v>191</v>
      </c>
      <c r="K71" s="1" t="s">
        <v>85</v>
      </c>
      <c r="L71" s="24">
        <f>I71/fiscal!$W$9*100</f>
        <v>25.684325273527818</v>
      </c>
    </row>
    <row r="72" spans="1:12" x14ac:dyDescent="0.35">
      <c r="A72" s="1" t="s">
        <v>125</v>
      </c>
      <c r="B72" s="1" t="s">
        <v>126</v>
      </c>
      <c r="C72" s="1" t="s">
        <v>85</v>
      </c>
      <c r="D72" s="1" t="s">
        <v>103</v>
      </c>
      <c r="E72" s="1" t="s">
        <v>295</v>
      </c>
      <c r="F72" s="1" t="s">
        <v>296</v>
      </c>
      <c r="G72" s="1">
        <v>2013</v>
      </c>
      <c r="H72" s="1">
        <v>115741450</v>
      </c>
      <c r="I72" s="1">
        <v>2055400</v>
      </c>
      <c r="J72" s="1" t="s">
        <v>190</v>
      </c>
      <c r="K72" s="1" t="s">
        <v>85</v>
      </c>
      <c r="L72" s="24">
        <f>I72/fiscal!$X$9*100</f>
        <v>7.6789535402762867</v>
      </c>
    </row>
    <row r="73" spans="1:12" x14ac:dyDescent="0.35">
      <c r="A73" s="1" t="s">
        <v>125</v>
      </c>
      <c r="B73" s="1" t="s">
        <v>126</v>
      </c>
      <c r="C73" s="1" t="s">
        <v>85</v>
      </c>
      <c r="D73" s="1" t="s">
        <v>103</v>
      </c>
      <c r="E73" s="1" t="s">
        <v>223</v>
      </c>
      <c r="F73" s="1" t="s">
        <v>8</v>
      </c>
      <c r="G73" s="1">
        <v>2013</v>
      </c>
      <c r="H73" s="1">
        <v>45826986</v>
      </c>
      <c r="I73" s="1">
        <v>478208</v>
      </c>
      <c r="J73" s="1" t="s">
        <v>190</v>
      </c>
      <c r="K73" s="1" t="s">
        <v>85</v>
      </c>
      <c r="L73" s="24">
        <f>I73/fiscal!$X$9*100</f>
        <v>1.786580234790524</v>
      </c>
    </row>
    <row r="74" spans="1:12" x14ac:dyDescent="0.35">
      <c r="A74" s="1" t="s">
        <v>125</v>
      </c>
      <c r="B74" s="1" t="s">
        <v>126</v>
      </c>
      <c r="C74" s="1" t="s">
        <v>85</v>
      </c>
      <c r="D74" s="1" t="s">
        <v>103</v>
      </c>
      <c r="E74" s="1" t="s">
        <v>179</v>
      </c>
      <c r="F74" s="1" t="s">
        <v>180</v>
      </c>
      <c r="G74" s="1">
        <v>2013</v>
      </c>
      <c r="H74" s="1">
        <v>41054801</v>
      </c>
      <c r="I74" s="1">
        <v>288931</v>
      </c>
      <c r="J74" s="1" t="s">
        <v>190</v>
      </c>
      <c r="K74" s="1" t="s">
        <v>85</v>
      </c>
      <c r="L74" s="24">
        <f>I74/fiscal!$X$9*100</f>
        <v>1.0794432837139087</v>
      </c>
    </row>
    <row r="75" spans="1:12" x14ac:dyDescent="0.35">
      <c r="A75" s="1" t="s">
        <v>125</v>
      </c>
      <c r="B75" s="1" t="s">
        <v>126</v>
      </c>
      <c r="C75" s="1" t="s">
        <v>85</v>
      </c>
      <c r="D75" s="1" t="s">
        <v>103</v>
      </c>
      <c r="E75" s="1" t="s">
        <v>176</v>
      </c>
      <c r="F75" s="1" t="s">
        <v>104</v>
      </c>
      <c r="G75" s="1">
        <v>2013</v>
      </c>
      <c r="H75" s="1">
        <v>33628764</v>
      </c>
      <c r="I75" s="1">
        <v>666632</v>
      </c>
      <c r="J75" s="1" t="s">
        <v>190</v>
      </c>
      <c r="K75" s="1" t="s">
        <v>85</v>
      </c>
      <c r="L75" s="24">
        <f>I75/fiscal!$X$9*100</f>
        <v>2.4905303865240156</v>
      </c>
    </row>
    <row r="76" spans="1:12" x14ac:dyDescent="0.35">
      <c r="A76" s="1" t="s">
        <v>125</v>
      </c>
      <c r="B76" s="1" t="s">
        <v>126</v>
      </c>
      <c r="C76" s="1" t="s">
        <v>85</v>
      </c>
      <c r="D76" s="1" t="s">
        <v>103</v>
      </c>
      <c r="E76" s="1" t="s">
        <v>176</v>
      </c>
      <c r="F76" s="1" t="s">
        <v>104</v>
      </c>
      <c r="G76" s="1">
        <v>2013</v>
      </c>
      <c r="H76" s="1">
        <v>32487383</v>
      </c>
      <c r="I76" s="1">
        <v>541356</v>
      </c>
      <c r="J76" s="1" t="s">
        <v>190</v>
      </c>
      <c r="K76" s="1" t="s">
        <v>85</v>
      </c>
      <c r="L76" s="24">
        <f>I76/fiscal!$X$9*100</f>
        <v>2.0225005219177823</v>
      </c>
    </row>
    <row r="77" spans="1:12" x14ac:dyDescent="0.35">
      <c r="A77" s="1" t="s">
        <v>125</v>
      </c>
      <c r="B77" s="1" t="s">
        <v>126</v>
      </c>
      <c r="C77" s="1" t="s">
        <v>85</v>
      </c>
      <c r="D77" s="1" t="s">
        <v>103</v>
      </c>
      <c r="E77" s="1" t="s">
        <v>207</v>
      </c>
      <c r="F77" s="1" t="s">
        <v>104</v>
      </c>
      <c r="G77" s="1">
        <v>2013</v>
      </c>
      <c r="H77" s="1">
        <v>29076950</v>
      </c>
      <c r="I77" s="1">
        <v>535732</v>
      </c>
      <c r="J77" s="1" t="s">
        <v>190</v>
      </c>
      <c r="K77" s="1" t="s">
        <v>85</v>
      </c>
      <c r="L77" s="24">
        <f>I77/fiscal!$X$9*100</f>
        <v>2.0014893149943056</v>
      </c>
    </row>
    <row r="78" spans="1:12" x14ac:dyDescent="0.35">
      <c r="A78" s="1" t="s">
        <v>125</v>
      </c>
      <c r="B78" s="1" t="s">
        <v>126</v>
      </c>
      <c r="C78" s="1" t="s">
        <v>85</v>
      </c>
      <c r="D78" s="1" t="s">
        <v>103</v>
      </c>
      <c r="E78" s="1" t="s">
        <v>317</v>
      </c>
      <c r="F78" s="1" t="s">
        <v>105</v>
      </c>
      <c r="G78" s="1">
        <v>2013</v>
      </c>
      <c r="H78" s="1">
        <v>20087982</v>
      </c>
      <c r="I78" s="1">
        <v>349304</v>
      </c>
      <c r="J78" s="1" t="s">
        <v>190</v>
      </c>
      <c r="K78" s="1" t="s">
        <v>85</v>
      </c>
      <c r="L78" s="24">
        <f>I78/fiscal!$X$9*100</f>
        <v>1.3049961990039252</v>
      </c>
    </row>
    <row r="79" spans="1:12" x14ac:dyDescent="0.35">
      <c r="A79" s="1" t="s">
        <v>125</v>
      </c>
      <c r="B79" s="1" t="s">
        <v>126</v>
      </c>
      <c r="C79" s="1" t="s">
        <v>85</v>
      </c>
      <c r="D79" s="1" t="s">
        <v>103</v>
      </c>
      <c r="E79" s="1" t="s">
        <v>181</v>
      </c>
      <c r="F79" s="1" t="s">
        <v>182</v>
      </c>
      <c r="G79" s="1">
        <v>2013</v>
      </c>
      <c r="H79" s="1">
        <v>19257721</v>
      </c>
      <c r="I79" s="1">
        <v>163404</v>
      </c>
      <c r="J79" s="1" t="s">
        <v>190</v>
      </c>
      <c r="K79" s="1" t="s">
        <v>85</v>
      </c>
      <c r="L79" s="24">
        <f>I79/fiscal!$X$9*100</f>
        <v>0.61047568565500943</v>
      </c>
    </row>
    <row r="80" spans="1:12" x14ac:dyDescent="0.35">
      <c r="A80" s="1" t="s">
        <v>125</v>
      </c>
      <c r="B80" s="1" t="s">
        <v>126</v>
      </c>
      <c r="C80" s="1" t="s">
        <v>85</v>
      </c>
      <c r="D80" s="1" t="s">
        <v>103</v>
      </c>
      <c r="E80" s="1" t="s">
        <v>176</v>
      </c>
      <c r="F80" s="1" t="s">
        <v>104</v>
      </c>
      <c r="G80" s="1">
        <v>2013</v>
      </c>
      <c r="H80" s="1">
        <v>16105960</v>
      </c>
      <c r="I80" s="1">
        <v>294129</v>
      </c>
      <c r="J80" s="1" t="s">
        <v>190</v>
      </c>
      <c r="K80" s="1" t="s">
        <v>85</v>
      </c>
      <c r="L80" s="24">
        <f>I80/fiscal!$X$9*100</f>
        <v>1.0988629589607493</v>
      </c>
    </row>
    <row r="81" spans="1:12" x14ac:dyDescent="0.35">
      <c r="A81" s="1" t="s">
        <v>125</v>
      </c>
      <c r="B81" s="1" t="s">
        <v>126</v>
      </c>
      <c r="C81" s="1" t="s">
        <v>85</v>
      </c>
      <c r="D81" s="1" t="s">
        <v>103</v>
      </c>
      <c r="E81" s="1" t="s">
        <v>318</v>
      </c>
      <c r="F81" s="1" t="s">
        <v>8</v>
      </c>
      <c r="G81" s="1">
        <v>2013</v>
      </c>
      <c r="H81" s="1">
        <v>14534048</v>
      </c>
      <c r="I81" s="1">
        <v>289165</v>
      </c>
      <c r="J81" s="1" t="s">
        <v>190</v>
      </c>
      <c r="K81" s="1" t="s">
        <v>85</v>
      </c>
      <c r="L81" s="24">
        <f>I81/fiscal!$X$9*100</f>
        <v>1.0803175053391032</v>
      </c>
    </row>
    <row r="82" spans="1:12" x14ac:dyDescent="0.35">
      <c r="A82" s="1" t="s">
        <v>125</v>
      </c>
      <c r="B82" s="1" t="s">
        <v>126</v>
      </c>
      <c r="C82" s="1" t="s">
        <v>85</v>
      </c>
      <c r="D82" s="1" t="s">
        <v>103</v>
      </c>
      <c r="E82" s="1" t="s">
        <v>102</v>
      </c>
      <c r="F82" s="1" t="s">
        <v>102</v>
      </c>
      <c r="G82" s="1">
        <v>2013</v>
      </c>
      <c r="H82" s="1">
        <f>SUM(H72:H81)</f>
        <v>367802045</v>
      </c>
      <c r="I82" s="1">
        <f>SUM(I72:I81)</f>
        <v>5662261</v>
      </c>
      <c r="J82" s="1" t="s">
        <v>191</v>
      </c>
      <c r="K82" s="1" t="s">
        <v>85</v>
      </c>
      <c r="L82" s="24">
        <f>I82/fiscal!$X$9*100</f>
        <v>21.15414963117561</v>
      </c>
    </row>
    <row r="83" spans="1:12" x14ac:dyDescent="0.35">
      <c r="A83" s="1" t="s">
        <v>125</v>
      </c>
      <c r="B83" s="1" t="s">
        <v>126</v>
      </c>
      <c r="C83" s="1" t="s">
        <v>85</v>
      </c>
      <c r="D83" s="1" t="s">
        <v>103</v>
      </c>
      <c r="E83" s="1" t="s">
        <v>176</v>
      </c>
      <c r="F83" s="1" t="s">
        <v>104</v>
      </c>
      <c r="G83" s="1">
        <v>2014</v>
      </c>
      <c r="H83" s="1">
        <v>368254815</v>
      </c>
      <c r="I83" s="1">
        <v>1928301</v>
      </c>
      <c r="J83" s="1" t="s">
        <v>190</v>
      </c>
      <c r="K83" s="1" t="s">
        <v>85</v>
      </c>
      <c r="L83" s="24">
        <f>I83/fiscal!$Y$9*100</f>
        <v>7.3044078478005074</v>
      </c>
    </row>
    <row r="84" spans="1:12" x14ac:dyDescent="0.35">
      <c r="A84" s="1" t="s">
        <v>125</v>
      </c>
      <c r="B84" s="1" t="s">
        <v>126</v>
      </c>
      <c r="C84" s="1" t="s">
        <v>85</v>
      </c>
      <c r="D84" s="1" t="s">
        <v>103</v>
      </c>
      <c r="E84" s="1" t="s">
        <v>295</v>
      </c>
      <c r="F84" s="1" t="s">
        <v>296</v>
      </c>
      <c r="G84" s="1">
        <v>2014</v>
      </c>
      <c r="H84" s="1">
        <v>784129450</v>
      </c>
      <c r="I84" s="1">
        <v>1626855</v>
      </c>
      <c r="J84" s="1" t="s">
        <v>190</v>
      </c>
      <c r="K84" s="1" t="s">
        <v>85</v>
      </c>
      <c r="L84" s="24">
        <f>I84/fiscal!$Y$9*100</f>
        <v>6.1625298276739446</v>
      </c>
    </row>
    <row r="85" spans="1:12" x14ac:dyDescent="0.35">
      <c r="A85" s="1" t="s">
        <v>125</v>
      </c>
      <c r="B85" s="1" t="s">
        <v>126</v>
      </c>
      <c r="C85" s="1" t="s">
        <v>85</v>
      </c>
      <c r="D85" s="1" t="s">
        <v>103</v>
      </c>
      <c r="E85" s="1" t="s">
        <v>328</v>
      </c>
      <c r="F85" s="1" t="s">
        <v>105</v>
      </c>
      <c r="G85" s="1">
        <v>2014</v>
      </c>
      <c r="H85" s="1">
        <v>105130143</v>
      </c>
      <c r="I85" s="1">
        <v>1155470</v>
      </c>
      <c r="J85" s="1" t="s">
        <v>190</v>
      </c>
      <c r="K85" s="1" t="s">
        <v>85</v>
      </c>
      <c r="L85" s="24">
        <f>I85/fiscal!$Y$9*100</f>
        <v>4.3769225530132756</v>
      </c>
    </row>
    <row r="86" spans="1:12" x14ac:dyDescent="0.35">
      <c r="A86" s="1" t="s">
        <v>125</v>
      </c>
      <c r="B86" s="1" t="s">
        <v>126</v>
      </c>
      <c r="C86" s="1" t="s">
        <v>85</v>
      </c>
      <c r="D86" s="1" t="s">
        <v>103</v>
      </c>
      <c r="E86" s="1" t="s">
        <v>317</v>
      </c>
      <c r="F86" s="1" t="s">
        <v>105</v>
      </c>
      <c r="G86" s="1">
        <v>2014</v>
      </c>
      <c r="H86" s="1">
        <v>94923244</v>
      </c>
      <c r="I86" s="1">
        <v>703149</v>
      </c>
      <c r="J86" s="1" t="s">
        <v>190</v>
      </c>
      <c r="K86" s="1" t="s">
        <v>85</v>
      </c>
      <c r="L86" s="24">
        <f>I86/fiscal!$Y$9*100</f>
        <v>2.6635297465349441</v>
      </c>
    </row>
    <row r="87" spans="1:12" x14ac:dyDescent="0.35">
      <c r="A87" s="1" t="s">
        <v>125</v>
      </c>
      <c r="B87" s="1" t="s">
        <v>126</v>
      </c>
      <c r="C87" s="1" t="s">
        <v>85</v>
      </c>
      <c r="D87" s="1" t="s">
        <v>103</v>
      </c>
      <c r="E87" s="1" t="s">
        <v>207</v>
      </c>
      <c r="F87" s="1" t="s">
        <v>104</v>
      </c>
      <c r="G87" s="1">
        <v>2014</v>
      </c>
      <c r="H87" s="1">
        <v>88653780</v>
      </c>
      <c r="I87" s="1">
        <v>634023</v>
      </c>
      <c r="J87" s="1" t="s">
        <v>190</v>
      </c>
      <c r="K87" s="1" t="s">
        <v>85</v>
      </c>
      <c r="L87" s="24">
        <f>I87/fiscal!$Y$9*100</f>
        <v>2.4016803273379113</v>
      </c>
    </row>
    <row r="88" spans="1:12" x14ac:dyDescent="0.35">
      <c r="A88" s="1" t="s">
        <v>125</v>
      </c>
      <c r="B88" s="1" t="s">
        <v>126</v>
      </c>
      <c r="C88" s="1" t="s">
        <v>85</v>
      </c>
      <c r="D88" s="1" t="s">
        <v>103</v>
      </c>
      <c r="E88" s="1" t="s">
        <v>329</v>
      </c>
      <c r="F88" s="1" t="s">
        <v>330</v>
      </c>
      <c r="G88" s="1">
        <v>2014</v>
      </c>
      <c r="H88" s="1">
        <v>27467221</v>
      </c>
      <c r="I88" s="1">
        <v>599068</v>
      </c>
      <c r="J88" s="1" t="s">
        <v>190</v>
      </c>
      <c r="K88" s="1" t="s">
        <v>85</v>
      </c>
      <c r="L88" s="24">
        <f>I88/fiscal!$Y$9*100</f>
        <v>2.2692707209954017</v>
      </c>
    </row>
    <row r="89" spans="1:12" x14ac:dyDescent="0.35">
      <c r="A89" s="1" t="s">
        <v>125</v>
      </c>
      <c r="B89" s="1" t="s">
        <v>126</v>
      </c>
      <c r="C89" s="1" t="s">
        <v>85</v>
      </c>
      <c r="D89" s="1" t="s">
        <v>103</v>
      </c>
      <c r="E89" s="1" t="s">
        <v>223</v>
      </c>
      <c r="F89" s="1" t="s">
        <v>8</v>
      </c>
      <c r="G89" s="1">
        <v>2014</v>
      </c>
      <c r="H89" s="1">
        <v>159226951</v>
      </c>
      <c r="I89" s="1">
        <v>543729</v>
      </c>
      <c r="J89" s="1" t="s">
        <v>190</v>
      </c>
      <c r="K89" s="1" t="s">
        <v>85</v>
      </c>
      <c r="L89" s="24">
        <f>I89/fiscal!$Y$9*100</f>
        <v>2.0596464839652744</v>
      </c>
    </row>
    <row r="90" spans="1:12" x14ac:dyDescent="0.35">
      <c r="A90" s="1" t="s">
        <v>125</v>
      </c>
      <c r="B90" s="1" t="s">
        <v>126</v>
      </c>
      <c r="C90" s="1" t="s">
        <v>85</v>
      </c>
      <c r="D90" s="1" t="s">
        <v>103</v>
      </c>
      <c r="E90" s="1" t="s">
        <v>331</v>
      </c>
      <c r="F90" s="1" t="s">
        <v>332</v>
      </c>
      <c r="G90" s="1">
        <v>2014</v>
      </c>
      <c r="H90" s="1">
        <v>22127872</v>
      </c>
      <c r="I90" s="1">
        <v>455541</v>
      </c>
      <c r="J90" s="1" t="s">
        <v>190</v>
      </c>
      <c r="K90" s="1" t="s">
        <v>85</v>
      </c>
      <c r="L90" s="24">
        <f>I90/fiscal!$Y$9*100</f>
        <v>1.7255901725896998</v>
      </c>
    </row>
    <row r="91" spans="1:12" x14ac:dyDescent="0.35">
      <c r="A91" s="1" t="s">
        <v>125</v>
      </c>
      <c r="B91" s="1" t="s">
        <v>126</v>
      </c>
      <c r="C91" s="1" t="s">
        <v>85</v>
      </c>
      <c r="D91" s="1" t="s">
        <v>103</v>
      </c>
      <c r="E91" s="1" t="s">
        <v>333</v>
      </c>
      <c r="F91" s="1" t="s">
        <v>334</v>
      </c>
      <c r="G91" s="1">
        <v>2014</v>
      </c>
      <c r="H91" s="1">
        <v>23190334</v>
      </c>
      <c r="I91" s="1">
        <v>407877</v>
      </c>
      <c r="J91" s="1" t="s">
        <v>190</v>
      </c>
      <c r="K91" s="1" t="s">
        <v>85</v>
      </c>
      <c r="L91" s="24">
        <f>I91/fiscal!$Y$9*100</f>
        <v>1.5450388501262655</v>
      </c>
    </row>
    <row r="92" spans="1:12" x14ac:dyDescent="0.35">
      <c r="A92" s="1" t="s">
        <v>125</v>
      </c>
      <c r="B92" s="1" t="s">
        <v>126</v>
      </c>
      <c r="C92" s="1" t="s">
        <v>85</v>
      </c>
      <c r="D92" s="1" t="s">
        <v>103</v>
      </c>
      <c r="E92" s="1" t="s">
        <v>208</v>
      </c>
      <c r="F92" s="1" t="s">
        <v>8</v>
      </c>
      <c r="G92" s="1">
        <v>2014</v>
      </c>
      <c r="H92" s="1">
        <v>5718800</v>
      </c>
      <c r="I92" s="1">
        <v>353610</v>
      </c>
      <c r="J92" s="1" t="s">
        <v>190</v>
      </c>
      <c r="K92" s="1" t="s">
        <v>85</v>
      </c>
      <c r="L92" s="24">
        <f>I92/fiscal!$Y$9*100</f>
        <v>1.33947535113073</v>
      </c>
    </row>
    <row r="93" spans="1:12" x14ac:dyDescent="0.35">
      <c r="A93" s="1" t="s">
        <v>125</v>
      </c>
      <c r="B93" s="1" t="s">
        <v>126</v>
      </c>
      <c r="C93" s="1" t="s">
        <v>85</v>
      </c>
      <c r="D93" s="1" t="s">
        <v>103</v>
      </c>
      <c r="E93" s="1" t="s">
        <v>102</v>
      </c>
      <c r="F93" s="1" t="s">
        <v>102</v>
      </c>
      <c r="G93" s="1">
        <v>2014</v>
      </c>
      <c r="H93" s="1">
        <f>SUM(H83:H92)</f>
        <v>1678822610</v>
      </c>
      <c r="I93" s="1">
        <f>SUM(I83:I92)</f>
        <v>8407623</v>
      </c>
      <c r="J93" s="1" t="s">
        <v>191</v>
      </c>
      <c r="K93" s="1" t="s">
        <v>85</v>
      </c>
      <c r="L93" s="24">
        <f>I93/fiscal!$Y$9*100</f>
        <v>31.848091881167957</v>
      </c>
    </row>
    <row r="94" spans="1:12" x14ac:dyDescent="0.35">
      <c r="A94" s="1" t="s">
        <v>125</v>
      </c>
      <c r="B94" s="1" t="s">
        <v>126</v>
      </c>
      <c r="C94" s="1" t="s">
        <v>85</v>
      </c>
      <c r="D94" s="1" t="s">
        <v>103</v>
      </c>
      <c r="E94" s="1" t="s">
        <v>295</v>
      </c>
      <c r="F94" s="1" t="s">
        <v>296</v>
      </c>
      <c r="G94" s="1">
        <v>2016</v>
      </c>
      <c r="H94" s="1">
        <v>863003540</v>
      </c>
      <c r="I94" s="1">
        <v>1882470</v>
      </c>
      <c r="J94" s="1" t="s">
        <v>190</v>
      </c>
      <c r="K94" s="1" t="s">
        <v>85</v>
      </c>
      <c r="L94" s="24">
        <f>I94/fiscal!$AA$9*100</f>
        <v>6.0885127646370174</v>
      </c>
    </row>
    <row r="95" spans="1:12" x14ac:dyDescent="0.35">
      <c r="A95" s="1" t="s">
        <v>125</v>
      </c>
      <c r="B95" s="1" t="s">
        <v>126</v>
      </c>
      <c r="C95" s="1" t="s">
        <v>85</v>
      </c>
      <c r="D95" s="1" t="s">
        <v>103</v>
      </c>
      <c r="E95" s="1" t="s">
        <v>181</v>
      </c>
      <c r="F95" s="1" t="s">
        <v>182</v>
      </c>
      <c r="G95" s="1">
        <v>2016</v>
      </c>
      <c r="H95" s="1">
        <v>188328161</v>
      </c>
      <c r="I95" s="1">
        <v>377400</v>
      </c>
      <c r="J95" s="1" t="s">
        <v>190</v>
      </c>
      <c r="K95" s="1" t="s">
        <v>85</v>
      </c>
      <c r="L95" s="24">
        <f>I95/fiscal!$AA$9*100</f>
        <v>1.2206328479997082</v>
      </c>
    </row>
    <row r="96" spans="1:12" x14ac:dyDescent="0.35">
      <c r="A96" s="1" t="s">
        <v>125</v>
      </c>
      <c r="B96" s="1" t="s">
        <v>126</v>
      </c>
      <c r="C96" s="1" t="s">
        <v>85</v>
      </c>
      <c r="D96" s="1" t="s">
        <v>103</v>
      </c>
      <c r="E96" s="1" t="s">
        <v>223</v>
      </c>
      <c r="F96" s="1" t="s">
        <v>8</v>
      </c>
      <c r="G96" s="1">
        <v>2016</v>
      </c>
      <c r="H96" s="1">
        <v>130677437</v>
      </c>
      <c r="I96" s="1">
        <v>557693</v>
      </c>
      <c r="J96" s="1" t="s">
        <v>190</v>
      </c>
      <c r="K96" s="1" t="s">
        <v>85</v>
      </c>
      <c r="L96" s="24">
        <f>I96/fiscal!$AA$9*100</f>
        <v>1.8037583330670408</v>
      </c>
    </row>
    <row r="97" spans="1:13" x14ac:dyDescent="0.35">
      <c r="A97" s="1" t="s">
        <v>125</v>
      </c>
      <c r="B97" s="1" t="s">
        <v>126</v>
      </c>
      <c r="C97" s="1" t="s">
        <v>85</v>
      </c>
      <c r="D97" s="1" t="s">
        <v>103</v>
      </c>
      <c r="E97" s="1" t="s">
        <v>176</v>
      </c>
      <c r="F97" s="1" t="s">
        <v>104</v>
      </c>
      <c r="G97" s="1">
        <v>2016</v>
      </c>
      <c r="H97" s="1">
        <v>98627631</v>
      </c>
      <c r="I97" s="1">
        <v>539726</v>
      </c>
      <c r="J97" s="1" t="s">
        <v>190</v>
      </c>
      <c r="K97" s="1" t="s">
        <v>85</v>
      </c>
      <c r="L97" s="24">
        <f>I97/fiscal!$AA$9*100</f>
        <v>1.7456472827755445</v>
      </c>
    </row>
    <row r="98" spans="1:13" x14ac:dyDescent="0.35">
      <c r="A98" s="1" t="s">
        <v>125</v>
      </c>
      <c r="B98" s="1" t="s">
        <v>126</v>
      </c>
      <c r="C98" s="1" t="s">
        <v>85</v>
      </c>
      <c r="D98" s="1" t="s">
        <v>103</v>
      </c>
      <c r="E98" s="1" t="s">
        <v>298</v>
      </c>
      <c r="F98" s="1" t="s">
        <v>299</v>
      </c>
      <c r="G98" s="1">
        <v>2016</v>
      </c>
      <c r="H98" s="1">
        <v>83676521</v>
      </c>
      <c r="I98" s="1">
        <v>411461</v>
      </c>
      <c r="J98" s="1" t="s">
        <v>190</v>
      </c>
      <c r="K98" s="1" t="s">
        <v>85</v>
      </c>
      <c r="L98" s="24">
        <f>I98/fiscal!$AA$9*100</f>
        <v>1.3307970648405085</v>
      </c>
    </row>
    <row r="99" spans="1:13" x14ac:dyDescent="0.35">
      <c r="A99" s="1" t="s">
        <v>125</v>
      </c>
      <c r="B99" s="1" t="s">
        <v>126</v>
      </c>
      <c r="C99" s="1" t="s">
        <v>85</v>
      </c>
      <c r="D99" s="1" t="s">
        <v>103</v>
      </c>
      <c r="E99" s="1" t="s">
        <v>175</v>
      </c>
      <c r="F99" s="1" t="s">
        <v>8</v>
      </c>
      <c r="G99" s="1">
        <v>2016</v>
      </c>
      <c r="H99" s="1">
        <v>43233200</v>
      </c>
      <c r="I99" s="1">
        <v>144211</v>
      </c>
      <c r="J99" s="1" t="s">
        <v>190</v>
      </c>
      <c r="K99" s="1" t="s">
        <v>85</v>
      </c>
      <c r="L99" s="24">
        <f>I99/fiscal!$AA$9*100</f>
        <v>0.46642470493610472</v>
      </c>
    </row>
    <row r="100" spans="1:13" x14ac:dyDescent="0.35">
      <c r="A100" s="1" t="s">
        <v>125</v>
      </c>
      <c r="B100" s="1" t="s">
        <v>126</v>
      </c>
      <c r="C100" s="1" t="s">
        <v>85</v>
      </c>
      <c r="D100" s="1" t="s">
        <v>103</v>
      </c>
      <c r="E100" s="1" t="s">
        <v>207</v>
      </c>
      <c r="F100" s="1" t="s">
        <v>104</v>
      </c>
      <c r="G100" s="1">
        <v>2016</v>
      </c>
      <c r="H100" s="1">
        <v>42571570</v>
      </c>
      <c r="I100" s="1">
        <v>367662</v>
      </c>
      <c r="J100" s="1" t="s">
        <v>190</v>
      </c>
      <c r="K100" s="1" t="s">
        <v>85</v>
      </c>
      <c r="L100" s="24">
        <f>I100/fiscal!$AA$9*100</f>
        <v>1.189137027454342</v>
      </c>
    </row>
    <row r="101" spans="1:13" x14ac:dyDescent="0.35">
      <c r="A101" s="1" t="s">
        <v>125</v>
      </c>
      <c r="B101" s="1" t="s">
        <v>126</v>
      </c>
      <c r="C101" s="1" t="s">
        <v>85</v>
      </c>
      <c r="D101" s="1" t="s">
        <v>103</v>
      </c>
      <c r="E101" s="1" t="s">
        <v>176</v>
      </c>
      <c r="F101" s="1" t="s">
        <v>104</v>
      </c>
      <c r="G101" s="1">
        <v>2016</v>
      </c>
      <c r="H101" s="1">
        <v>42509302</v>
      </c>
      <c r="I101" s="1">
        <v>276838</v>
      </c>
      <c r="J101" s="1" t="s">
        <v>190</v>
      </c>
      <c r="K101" s="1" t="s">
        <v>85</v>
      </c>
      <c r="L101" s="24">
        <f>I101/fiscal!$AA$9*100</f>
        <v>0.89538303225899085</v>
      </c>
    </row>
    <row r="102" spans="1:13" x14ac:dyDescent="0.35">
      <c r="A102" s="1" t="s">
        <v>125</v>
      </c>
      <c r="B102" s="1" t="s">
        <v>126</v>
      </c>
      <c r="C102" s="1" t="s">
        <v>85</v>
      </c>
      <c r="D102" s="1" t="s">
        <v>103</v>
      </c>
      <c r="E102" s="1" t="s">
        <v>318</v>
      </c>
      <c r="F102" s="1" t="s">
        <v>8</v>
      </c>
      <c r="G102" s="1">
        <v>2016</v>
      </c>
      <c r="H102" s="1">
        <v>39632760</v>
      </c>
      <c r="I102" s="1">
        <v>312960</v>
      </c>
      <c r="J102" s="1" t="s">
        <v>190</v>
      </c>
      <c r="K102" s="1" t="s">
        <v>85</v>
      </c>
      <c r="L102" s="24">
        <f>I102/fiscal!$AA$9*100</f>
        <v>1.0122131852410934</v>
      </c>
    </row>
    <row r="103" spans="1:13" x14ac:dyDescent="0.35">
      <c r="A103" s="1" t="s">
        <v>125</v>
      </c>
      <c r="B103" s="1" t="s">
        <v>126</v>
      </c>
      <c r="C103" s="1" t="s">
        <v>85</v>
      </c>
      <c r="D103" s="1" t="s">
        <v>103</v>
      </c>
      <c r="E103" s="1" t="s">
        <v>208</v>
      </c>
      <c r="F103" s="1" t="s">
        <v>8</v>
      </c>
      <c r="G103" s="1">
        <v>2016</v>
      </c>
      <c r="H103" s="1">
        <v>36965000</v>
      </c>
      <c r="I103" s="1">
        <v>183924</v>
      </c>
      <c r="J103" s="1" t="s">
        <v>190</v>
      </c>
      <c r="K103" s="1" t="s">
        <v>85</v>
      </c>
      <c r="L103" s="24">
        <f>I103/fiscal!$AA$9*100</f>
        <v>0.59486930560545392</v>
      </c>
    </row>
    <row r="104" spans="1:13" x14ac:dyDescent="0.35">
      <c r="A104" s="1" t="s">
        <v>125</v>
      </c>
      <c r="B104" s="1" t="s">
        <v>126</v>
      </c>
      <c r="C104" s="1" t="s">
        <v>85</v>
      </c>
      <c r="D104" s="1" t="s">
        <v>103</v>
      </c>
      <c r="E104" s="1" t="s">
        <v>102</v>
      </c>
      <c r="F104" s="1" t="s">
        <v>102</v>
      </c>
      <c r="G104" s="1">
        <v>2016</v>
      </c>
      <c r="H104" s="1">
        <f>SUM(H94:H103)</f>
        <v>1569225122</v>
      </c>
      <c r="I104" s="1">
        <f>SUM(I94:I103)</f>
        <v>5054345</v>
      </c>
      <c r="J104" s="1" t="s">
        <v>191</v>
      </c>
      <c r="K104" s="1" t="s">
        <v>85</v>
      </c>
      <c r="L104" s="24">
        <f>I104/fiscal!$AA$9*100</f>
        <v>16.347375548815805</v>
      </c>
    </row>
    <row r="105" spans="1:13" x14ac:dyDescent="0.35">
      <c r="A105" s="1" t="s">
        <v>125</v>
      </c>
      <c r="B105" s="1" t="s">
        <v>126</v>
      </c>
      <c r="C105" s="1" t="s">
        <v>85</v>
      </c>
      <c r="D105" s="1" t="s">
        <v>103</v>
      </c>
      <c r="E105" s="1" t="s">
        <v>295</v>
      </c>
      <c r="F105" s="1" t="s">
        <v>296</v>
      </c>
      <c r="G105" s="1">
        <v>2017</v>
      </c>
      <c r="H105" s="1">
        <v>862191355</v>
      </c>
      <c r="I105" s="1">
        <v>1833893</v>
      </c>
      <c r="J105" s="1" t="s">
        <v>190</v>
      </c>
      <c r="K105" s="1" t="s">
        <v>85</v>
      </c>
      <c r="L105" s="24">
        <f>I105/fiscal!$AB$9*100</f>
        <v>5.9356020804301588</v>
      </c>
    </row>
    <row r="106" spans="1:13" x14ac:dyDescent="0.35">
      <c r="A106" s="1" t="s">
        <v>125</v>
      </c>
      <c r="B106" s="1" t="s">
        <v>126</v>
      </c>
      <c r="C106" s="1" t="s">
        <v>85</v>
      </c>
      <c r="D106" s="1" t="s">
        <v>103</v>
      </c>
      <c r="E106" s="1" t="s">
        <v>181</v>
      </c>
      <c r="F106" s="1" t="s">
        <v>182</v>
      </c>
      <c r="G106" s="1">
        <v>2017</v>
      </c>
      <c r="H106" s="1">
        <v>190195521</v>
      </c>
      <c r="I106" s="1">
        <v>1948452</v>
      </c>
      <c r="J106" s="1" t="s">
        <v>190</v>
      </c>
      <c r="K106" s="1" t="s">
        <v>85</v>
      </c>
      <c r="L106" s="24">
        <f>I106/fiscal!$AB$9*100</f>
        <v>6.3063852388434354</v>
      </c>
    </row>
    <row r="107" spans="1:13" x14ac:dyDescent="0.35">
      <c r="A107" s="1" t="s">
        <v>125</v>
      </c>
      <c r="B107" s="1" t="s">
        <v>126</v>
      </c>
      <c r="C107" s="1" t="s">
        <v>85</v>
      </c>
      <c r="D107" s="1" t="s">
        <v>103</v>
      </c>
      <c r="E107" s="1" t="s">
        <v>176</v>
      </c>
      <c r="F107" s="1" t="s">
        <v>104</v>
      </c>
      <c r="G107" s="1">
        <v>2017</v>
      </c>
      <c r="H107" s="1">
        <v>96426937</v>
      </c>
      <c r="I107" s="1">
        <v>762275</v>
      </c>
      <c r="J107" s="1" t="s">
        <v>190</v>
      </c>
      <c r="K107" s="1" t="s">
        <v>85</v>
      </c>
      <c r="L107" s="24">
        <f>I107/fiscal!$AB$9*100</f>
        <v>2.4671892394266726</v>
      </c>
    </row>
    <row r="108" spans="1:13" x14ac:dyDescent="0.35">
      <c r="A108" s="1" t="s">
        <v>125</v>
      </c>
      <c r="B108" s="1" t="s">
        <v>126</v>
      </c>
      <c r="C108" s="1" t="s">
        <v>85</v>
      </c>
      <c r="D108" s="1" t="s">
        <v>103</v>
      </c>
      <c r="E108" s="1" t="s">
        <v>298</v>
      </c>
      <c r="F108" s="1" t="s">
        <v>299</v>
      </c>
      <c r="G108" s="1">
        <v>2017</v>
      </c>
      <c r="H108" s="1">
        <v>76406850</v>
      </c>
      <c r="I108" s="1">
        <v>667108</v>
      </c>
      <c r="J108" s="1" t="s">
        <v>190</v>
      </c>
      <c r="K108" s="1" t="s">
        <v>85</v>
      </c>
      <c r="L108" s="24">
        <f>I108/fiscal!$AB$9*100</f>
        <v>2.1591704819591993</v>
      </c>
    </row>
    <row r="109" spans="1:13" x14ac:dyDescent="0.35">
      <c r="A109" s="1" t="s">
        <v>125</v>
      </c>
      <c r="B109" s="1" t="s">
        <v>126</v>
      </c>
      <c r="C109" s="1" t="s">
        <v>85</v>
      </c>
      <c r="D109" s="1" t="s">
        <v>103</v>
      </c>
      <c r="E109" s="1" t="s">
        <v>318</v>
      </c>
      <c r="F109" s="1" t="s">
        <v>8</v>
      </c>
      <c r="G109" s="1">
        <v>2017</v>
      </c>
      <c r="H109" s="1">
        <v>47876220</v>
      </c>
      <c r="I109" s="1">
        <v>309447</v>
      </c>
      <c r="J109" s="1" t="s">
        <v>190</v>
      </c>
      <c r="K109" s="1" t="s">
        <v>85</v>
      </c>
      <c r="L109" s="24">
        <f>I109/fiscal!$AB$9*100</f>
        <v>1.001560209337661</v>
      </c>
    </row>
    <row r="110" spans="1:13" x14ac:dyDescent="0.35">
      <c r="A110" s="1" t="s">
        <v>125</v>
      </c>
      <c r="B110" s="1" t="s">
        <v>126</v>
      </c>
      <c r="C110" s="1" t="s">
        <v>85</v>
      </c>
      <c r="D110" s="1" t="s">
        <v>103</v>
      </c>
      <c r="E110" s="1" t="s">
        <v>358</v>
      </c>
      <c r="F110" s="1" t="s">
        <v>187</v>
      </c>
      <c r="G110" s="1">
        <v>2017</v>
      </c>
      <c r="H110" s="1">
        <v>40283773</v>
      </c>
      <c r="I110" s="1">
        <v>640241</v>
      </c>
      <c r="J110" s="1" t="s">
        <v>190</v>
      </c>
      <c r="K110" s="1" t="s">
        <v>85</v>
      </c>
      <c r="L110" s="24">
        <f>I110/fiscal!$AB$9*100</f>
        <v>2.0722123982024501</v>
      </c>
    </row>
    <row r="111" spans="1:13" x14ac:dyDescent="0.35">
      <c r="A111" s="1" t="s">
        <v>125</v>
      </c>
      <c r="B111" s="1" t="s">
        <v>126</v>
      </c>
      <c r="C111" s="1" t="s">
        <v>85</v>
      </c>
      <c r="D111" s="1" t="s">
        <v>103</v>
      </c>
      <c r="E111" s="1" t="s">
        <v>179</v>
      </c>
      <c r="F111" s="1" t="s">
        <v>180</v>
      </c>
      <c r="G111" s="1">
        <v>2017</v>
      </c>
      <c r="H111" s="1">
        <v>38334449</v>
      </c>
      <c r="I111" s="1">
        <v>349738</v>
      </c>
      <c r="J111" s="1" t="s">
        <v>190</v>
      </c>
      <c r="K111" s="1" t="s">
        <v>85</v>
      </c>
      <c r="L111" s="24">
        <f>I111/fiscal!$AB$9*100</f>
        <v>1.1319665871484774</v>
      </c>
    </row>
    <row r="112" spans="1:13" x14ac:dyDescent="0.35">
      <c r="A112" s="1" t="s">
        <v>125</v>
      </c>
      <c r="B112" s="1" t="s">
        <v>126</v>
      </c>
      <c r="C112" s="1" t="s">
        <v>85</v>
      </c>
      <c r="D112" s="1" t="s">
        <v>103</v>
      </c>
      <c r="E112" s="1" t="s">
        <v>176</v>
      </c>
      <c r="F112" s="1" t="s">
        <v>104</v>
      </c>
      <c r="G112" s="1">
        <v>2017</v>
      </c>
      <c r="H112" s="1">
        <v>34776476</v>
      </c>
      <c r="I112" s="1">
        <v>246883</v>
      </c>
      <c r="J112" s="1" t="s">
        <v>190</v>
      </c>
      <c r="K112" s="1" t="s">
        <v>85</v>
      </c>
      <c r="L112" s="24">
        <f>I112/fiscal!$AB$9*100</f>
        <v>0.79906474828293628</v>
      </c>
      <c r="M112" s="17"/>
    </row>
    <row r="113" spans="1:13" x14ac:dyDescent="0.35">
      <c r="A113" s="1" t="s">
        <v>125</v>
      </c>
      <c r="B113" s="1" t="s">
        <v>126</v>
      </c>
      <c r="C113" s="1" t="s">
        <v>85</v>
      </c>
      <c r="D113" s="1" t="s">
        <v>103</v>
      </c>
      <c r="E113" s="1" t="s">
        <v>318</v>
      </c>
      <c r="F113" s="1" t="s">
        <v>8</v>
      </c>
      <c r="G113" s="1">
        <v>2017</v>
      </c>
      <c r="H113" s="1">
        <v>39632760</v>
      </c>
      <c r="I113" s="1">
        <v>312960</v>
      </c>
      <c r="J113" s="1" t="s">
        <v>190</v>
      </c>
      <c r="K113" s="1" t="s">
        <v>85</v>
      </c>
      <c r="L113" s="24">
        <f>I113/fiscal!$AB$9*100</f>
        <v>1.0129304311055349</v>
      </c>
      <c r="M113" s="17"/>
    </row>
    <row r="114" spans="1:13" x14ac:dyDescent="0.35">
      <c r="A114" s="1" t="s">
        <v>125</v>
      </c>
      <c r="B114" s="1" t="s">
        <v>126</v>
      </c>
      <c r="C114" s="1" t="s">
        <v>85</v>
      </c>
      <c r="D114" s="1" t="s">
        <v>103</v>
      </c>
      <c r="E114" s="1" t="s">
        <v>319</v>
      </c>
      <c r="F114" s="1" t="s">
        <v>320</v>
      </c>
      <c r="G114" s="1">
        <v>2017</v>
      </c>
      <c r="H114" s="1">
        <v>37574018</v>
      </c>
      <c r="I114" s="1">
        <v>328996</v>
      </c>
      <c r="J114" s="1" t="s">
        <v>190</v>
      </c>
      <c r="K114" s="1" t="s">
        <v>85</v>
      </c>
      <c r="L114" s="24">
        <f>I114/fiscal!$AB$9*100</f>
        <v>1.0648327585378212</v>
      </c>
      <c r="M114" s="17"/>
    </row>
    <row r="115" spans="1:13" x14ac:dyDescent="0.35">
      <c r="A115" s="1" t="s">
        <v>125</v>
      </c>
      <c r="B115" s="1" t="s">
        <v>126</v>
      </c>
      <c r="C115" s="1" t="s">
        <v>85</v>
      </c>
      <c r="D115" s="1" t="s">
        <v>103</v>
      </c>
      <c r="E115" s="1" t="s">
        <v>223</v>
      </c>
      <c r="F115" s="1" t="s">
        <v>8</v>
      </c>
      <c r="G115" s="1">
        <v>2017</v>
      </c>
      <c r="H115" s="1">
        <v>31281410</v>
      </c>
      <c r="I115" s="1">
        <v>136986</v>
      </c>
      <c r="J115" s="1" t="s">
        <v>190</v>
      </c>
      <c r="K115" s="1" t="s">
        <v>85</v>
      </c>
      <c r="L115" s="24">
        <f>I115/fiscal!$AB$9*100</f>
        <v>0.44337068007228653</v>
      </c>
      <c r="M115" s="17"/>
    </row>
    <row r="116" spans="1:13" x14ac:dyDescent="0.35">
      <c r="A116" s="1" t="s">
        <v>125</v>
      </c>
      <c r="B116" s="1" t="s">
        <v>126</v>
      </c>
      <c r="C116" s="1" t="s">
        <v>85</v>
      </c>
      <c r="D116" s="1" t="s">
        <v>103</v>
      </c>
      <c r="E116" s="1" t="s">
        <v>102</v>
      </c>
      <c r="F116" s="1" t="s">
        <v>102</v>
      </c>
      <c r="G116" s="1">
        <v>2017</v>
      </c>
      <c r="H116" s="1">
        <f>SUM(H105:H114)</f>
        <v>1463698359</v>
      </c>
      <c r="I116" s="1">
        <f>SUM(I105:I114)</f>
        <v>7399993</v>
      </c>
      <c r="J116" s="1" t="s">
        <v>191</v>
      </c>
      <c r="K116" s="1" t="s">
        <v>85</v>
      </c>
      <c r="L116" s="24">
        <f>I116/fiscal!$AB$9*100</f>
        <v>23.950914173274345</v>
      </c>
      <c r="M116" s="17"/>
    </row>
    <row r="117" spans="1:13" x14ac:dyDescent="0.35">
      <c r="M117" s="17"/>
    </row>
    <row r="118" spans="1:13" x14ac:dyDescent="0.35">
      <c r="M118" s="17"/>
    </row>
    <row r="119" spans="1:13" x14ac:dyDescent="0.35">
      <c r="M119" s="17"/>
    </row>
    <row r="120" spans="1:13" x14ac:dyDescent="0.35">
      <c r="M120" s="17"/>
    </row>
    <row r="121" spans="1:13" x14ac:dyDescent="0.35">
      <c r="M121" s="17"/>
    </row>
    <row r="122" spans="1:13" x14ac:dyDescent="0.35">
      <c r="M122" s="17"/>
    </row>
    <row r="123" spans="1:13" x14ac:dyDescent="0.35">
      <c r="M123" s="17"/>
    </row>
    <row r="124" spans="1:13" x14ac:dyDescent="0.35">
      <c r="L124" s="17"/>
      <c r="M124" s="17"/>
    </row>
    <row r="125" spans="1:13" x14ac:dyDescent="0.35">
      <c r="L125" s="17"/>
      <c r="M125" s="17"/>
    </row>
    <row r="126" spans="1:13" x14ac:dyDescent="0.35">
      <c r="L126" s="17"/>
      <c r="M126" s="17"/>
    </row>
    <row r="127" spans="1:13" x14ac:dyDescent="0.35">
      <c r="L127" s="17"/>
      <c r="M127" s="17"/>
    </row>
    <row r="128" spans="1:13" x14ac:dyDescent="0.35">
      <c r="L128" s="17"/>
      <c r="M128" s="17"/>
    </row>
    <row r="129" spans="12:13" x14ac:dyDescent="0.35">
      <c r="L129" s="17"/>
      <c r="M129" s="17"/>
    </row>
    <row r="130" spans="12:13" x14ac:dyDescent="0.35">
      <c r="L130" s="17"/>
      <c r="M130" s="17"/>
    </row>
    <row r="131" spans="12:13" x14ac:dyDescent="0.35">
      <c r="L131" s="17"/>
      <c r="M131" s="17"/>
    </row>
    <row r="132" spans="12:13" x14ac:dyDescent="0.35">
      <c r="L132" s="17"/>
      <c r="M132" s="17"/>
    </row>
    <row r="133" spans="12:13" x14ac:dyDescent="0.35">
      <c r="L133" s="17"/>
      <c r="M133" s="17"/>
    </row>
    <row r="134" spans="12:13" x14ac:dyDescent="0.35">
      <c r="L134" s="17"/>
      <c r="M134" s="17"/>
    </row>
    <row r="135" spans="12:13" x14ac:dyDescent="0.35">
      <c r="L135" s="17"/>
    </row>
    <row r="136" spans="12:13" x14ac:dyDescent="0.35">
      <c r="L136" s="17"/>
    </row>
    <row r="137" spans="12:13" x14ac:dyDescent="0.35">
      <c r="L137" s="17"/>
    </row>
    <row r="138" spans="12:13" x14ac:dyDescent="0.35">
      <c r="L138" s="17"/>
    </row>
    <row r="139" spans="12:13" x14ac:dyDescent="0.35">
      <c r="L139" s="17"/>
    </row>
    <row r="140" spans="12:13" x14ac:dyDescent="0.35">
      <c r="L140" s="17"/>
    </row>
    <row r="141" spans="12:13" x14ac:dyDescent="0.35">
      <c r="L141" s="17"/>
    </row>
    <row r="142" spans="12:13" x14ac:dyDescent="0.35">
      <c r="L142" s="17"/>
    </row>
    <row r="143" spans="12:13" x14ac:dyDescent="0.35">
      <c r="L143" s="17"/>
    </row>
    <row r="144" spans="12:13" x14ac:dyDescent="0.35">
      <c r="L144" s="17"/>
    </row>
    <row r="145" spans="12:12" x14ac:dyDescent="0.35">
      <c r="L145" s="17"/>
    </row>
    <row r="146" spans="12:12" x14ac:dyDescent="0.35">
      <c r="L146" s="17"/>
    </row>
    <row r="147" spans="12:12" x14ac:dyDescent="0.35">
      <c r="L147" s="17"/>
    </row>
    <row r="148" spans="12:12" x14ac:dyDescent="0.35">
      <c r="L148" s="17"/>
    </row>
    <row r="149" spans="12:12" x14ac:dyDescent="0.35">
      <c r="L149" s="17"/>
    </row>
    <row r="150" spans="12:12" x14ac:dyDescent="0.35">
      <c r="L150" s="17"/>
    </row>
    <row r="151" spans="12:12" x14ac:dyDescent="0.35">
      <c r="L151" s="17"/>
    </row>
    <row r="152" spans="12:12" x14ac:dyDescent="0.35">
      <c r="L152" s="17"/>
    </row>
    <row r="153" spans="12:12" x14ac:dyDescent="0.35">
      <c r="L153" s="17"/>
    </row>
    <row r="154" spans="12:12" x14ac:dyDescent="0.35">
      <c r="L154" s="17"/>
    </row>
    <row r="155" spans="12:12" x14ac:dyDescent="0.35">
      <c r="L155" s="17"/>
    </row>
    <row r="156" spans="12:12" x14ac:dyDescent="0.35">
      <c r="L156" s="17"/>
    </row>
    <row r="157" spans="12:12" x14ac:dyDescent="0.35">
      <c r="L157" s="17"/>
    </row>
    <row r="158" spans="12:12" x14ac:dyDescent="0.35">
      <c r="L158" s="17"/>
    </row>
    <row r="159" spans="12:12" x14ac:dyDescent="0.35">
      <c r="L159" s="17"/>
    </row>
    <row r="160" spans="12:12" x14ac:dyDescent="0.35">
      <c r="L160" s="17"/>
    </row>
    <row r="161" spans="12:12" x14ac:dyDescent="0.35">
      <c r="L161" s="17"/>
    </row>
    <row r="162" spans="12:12" x14ac:dyDescent="0.35">
      <c r="L162" s="17"/>
    </row>
    <row r="163" spans="12:12" x14ac:dyDescent="0.35">
      <c r="L163" s="17"/>
    </row>
    <row r="164" spans="12:12" x14ac:dyDescent="0.35">
      <c r="L164" s="17"/>
    </row>
    <row r="165" spans="12:12" x14ac:dyDescent="0.35">
      <c r="L165" s="17"/>
    </row>
    <row r="166" spans="12:12" x14ac:dyDescent="0.35">
      <c r="L166" s="17"/>
    </row>
    <row r="167" spans="12:12" x14ac:dyDescent="0.35">
      <c r="L167" s="17"/>
    </row>
    <row r="168" spans="12:12" x14ac:dyDescent="0.35">
      <c r="L168" s="17"/>
    </row>
    <row r="169" spans="12:12" x14ac:dyDescent="0.35">
      <c r="L169" s="17"/>
    </row>
    <row r="170" spans="12:12" x14ac:dyDescent="0.35">
      <c r="L170" s="17"/>
    </row>
    <row r="171" spans="12:12" x14ac:dyDescent="0.35">
      <c r="L171" s="17"/>
    </row>
    <row r="172" spans="12:12" x14ac:dyDescent="0.35">
      <c r="L172" s="17"/>
    </row>
    <row r="173" spans="12:12" x14ac:dyDescent="0.35">
      <c r="L173" s="17"/>
    </row>
    <row r="174" spans="12:12" x14ac:dyDescent="0.35">
      <c r="L174" s="17"/>
    </row>
    <row r="175" spans="12:12" x14ac:dyDescent="0.35">
      <c r="L175" s="17"/>
    </row>
    <row r="176" spans="12:12" x14ac:dyDescent="0.35">
      <c r="L176" s="17"/>
    </row>
    <row r="177" spans="12:12" x14ac:dyDescent="0.35">
      <c r="L177" s="17"/>
    </row>
    <row r="178" spans="12:12" x14ac:dyDescent="0.35">
      <c r="L178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83"/>
  <sheetViews>
    <sheetView workbookViewId="0">
      <selection activeCell="M2" sqref="M2"/>
    </sheetView>
  </sheetViews>
  <sheetFormatPr defaultColWidth="8.90625" defaultRowHeight="14.5" x14ac:dyDescent="0.35"/>
  <cols>
    <col min="1" max="1" width="10.08984375" style="1" bestFit="1" customWidth="1"/>
    <col min="2" max="8" width="8.90625" style="1"/>
    <col min="9" max="9" width="10.6328125" style="1" bestFit="1" customWidth="1"/>
    <col min="10" max="16384" width="8.90625" style="1"/>
  </cols>
  <sheetData>
    <row r="1" spans="1:16" x14ac:dyDescent="0.35">
      <c r="A1" s="4" t="s">
        <v>0</v>
      </c>
      <c r="B1" s="4" t="s">
        <v>27</v>
      </c>
      <c r="C1" s="4" t="s">
        <v>1</v>
      </c>
      <c r="D1" s="4" t="s">
        <v>77</v>
      </c>
      <c r="E1" s="4" t="s">
        <v>78</v>
      </c>
      <c r="F1" s="4" t="s">
        <v>24</v>
      </c>
      <c r="G1" s="4" t="s">
        <v>420</v>
      </c>
      <c r="H1" s="4" t="s">
        <v>421</v>
      </c>
      <c r="I1" s="4" t="s">
        <v>79</v>
      </c>
      <c r="J1" s="4" t="s">
        <v>80</v>
      </c>
      <c r="K1" s="4" t="s">
        <v>81</v>
      </c>
      <c r="L1" s="4" t="s">
        <v>422</v>
      </c>
      <c r="M1" s="4" t="s">
        <v>482</v>
      </c>
      <c r="N1" s="4" t="s">
        <v>82</v>
      </c>
      <c r="O1" s="4" t="s">
        <v>83</v>
      </c>
      <c r="P1" s="4" t="s">
        <v>371</v>
      </c>
    </row>
    <row r="2" spans="1:16" x14ac:dyDescent="0.35">
      <c r="A2" s="1" t="s">
        <v>125</v>
      </c>
      <c r="B2" s="1" t="s">
        <v>126</v>
      </c>
      <c r="C2" s="1">
        <v>1997</v>
      </c>
      <c r="D2" s="1">
        <v>1997</v>
      </c>
      <c r="E2" s="1" t="s">
        <v>85</v>
      </c>
      <c r="F2" s="1" t="s">
        <v>103</v>
      </c>
      <c r="G2" s="1" t="s">
        <v>113</v>
      </c>
      <c r="H2" s="1" t="s">
        <v>109</v>
      </c>
      <c r="I2" s="1" t="s">
        <v>110</v>
      </c>
      <c r="J2" s="1">
        <f>5/8</f>
        <v>0.625</v>
      </c>
      <c r="K2" s="1" t="s">
        <v>171</v>
      </c>
      <c r="L2" s="1" t="s">
        <v>85</v>
      </c>
      <c r="M2" s="1" t="s">
        <v>85</v>
      </c>
      <c r="N2" s="1">
        <f>ROUND(11.9/3,2)</f>
        <v>3.97</v>
      </c>
      <c r="O2" s="1" t="s">
        <v>164</v>
      </c>
    </row>
    <row r="3" spans="1:16" x14ac:dyDescent="0.35">
      <c r="A3" s="1" t="s">
        <v>125</v>
      </c>
      <c r="B3" s="1" t="s">
        <v>126</v>
      </c>
      <c r="C3" s="1">
        <v>1997</v>
      </c>
      <c r="D3" s="1">
        <v>1997</v>
      </c>
      <c r="E3" s="1" t="s">
        <v>85</v>
      </c>
      <c r="F3" s="1" t="s">
        <v>103</v>
      </c>
      <c r="G3" s="1" t="s">
        <v>113</v>
      </c>
      <c r="H3" s="1" t="s">
        <v>109</v>
      </c>
      <c r="I3" s="1" t="s">
        <v>110</v>
      </c>
      <c r="J3" s="1">
        <v>0.75</v>
      </c>
      <c r="K3" s="1" t="s">
        <v>171</v>
      </c>
      <c r="L3" s="1" t="s">
        <v>85</v>
      </c>
      <c r="M3" s="1" t="s">
        <v>85</v>
      </c>
      <c r="N3" s="1">
        <v>8.9700000000000006</v>
      </c>
      <c r="O3" s="1" t="s">
        <v>164</v>
      </c>
    </row>
    <row r="4" spans="1:16" x14ac:dyDescent="0.35">
      <c r="A4" s="1" t="s">
        <v>125</v>
      </c>
      <c r="B4" s="1" t="s">
        <v>126</v>
      </c>
      <c r="C4" s="1">
        <v>1997</v>
      </c>
      <c r="D4" s="1">
        <v>1997</v>
      </c>
      <c r="E4" s="1" t="s">
        <v>85</v>
      </c>
      <c r="F4" s="1" t="s">
        <v>103</v>
      </c>
      <c r="G4" s="1" t="s">
        <v>113</v>
      </c>
      <c r="H4" s="1" t="s">
        <v>109</v>
      </c>
      <c r="I4" s="1" t="s">
        <v>110</v>
      </c>
      <c r="J4" s="1">
        <v>1</v>
      </c>
      <c r="K4" s="1" t="s">
        <v>171</v>
      </c>
      <c r="L4" s="1" t="s">
        <v>85</v>
      </c>
      <c r="M4" s="1" t="s">
        <v>85</v>
      </c>
      <c r="N4" s="1">
        <v>15.1</v>
      </c>
      <c r="O4" s="1" t="s">
        <v>164</v>
      </c>
    </row>
    <row r="5" spans="1:16" x14ac:dyDescent="0.35">
      <c r="A5" s="1" t="s">
        <v>125</v>
      </c>
      <c r="B5" s="1" t="s">
        <v>126</v>
      </c>
      <c r="C5" s="1">
        <v>1997</v>
      </c>
      <c r="D5" s="1">
        <v>1997</v>
      </c>
      <c r="E5" s="1" t="s">
        <v>85</v>
      </c>
      <c r="F5" s="1" t="s">
        <v>103</v>
      </c>
      <c r="G5" s="1" t="s">
        <v>113</v>
      </c>
      <c r="H5" s="1" t="s">
        <v>111</v>
      </c>
      <c r="I5" s="1" t="s">
        <v>166</v>
      </c>
      <c r="J5" s="1" t="s">
        <v>162</v>
      </c>
      <c r="K5" s="1" t="s">
        <v>162</v>
      </c>
      <c r="L5" s="1" t="s">
        <v>85</v>
      </c>
      <c r="M5" s="1" t="s">
        <v>85</v>
      </c>
      <c r="N5" s="1">
        <v>1.6644000000000001</v>
      </c>
      <c r="O5" s="1" t="s">
        <v>163</v>
      </c>
    </row>
    <row r="6" spans="1:16" x14ac:dyDescent="0.35">
      <c r="A6" s="1" t="s">
        <v>125</v>
      </c>
      <c r="B6" s="1" t="s">
        <v>126</v>
      </c>
      <c r="C6" s="1">
        <v>1997</v>
      </c>
      <c r="D6" s="1">
        <v>1997</v>
      </c>
      <c r="E6" s="1" t="s">
        <v>85</v>
      </c>
      <c r="F6" s="1" t="s">
        <v>103</v>
      </c>
      <c r="G6" s="1" t="s">
        <v>113</v>
      </c>
      <c r="H6" s="1" t="s">
        <v>109</v>
      </c>
      <c r="I6" s="1" t="s">
        <v>110</v>
      </c>
      <c r="J6" s="1">
        <v>1.25</v>
      </c>
      <c r="K6" s="1" t="s">
        <v>171</v>
      </c>
      <c r="L6" s="1" t="s">
        <v>85</v>
      </c>
      <c r="M6" s="1" t="s">
        <v>85</v>
      </c>
      <c r="N6" s="1">
        <v>24.5</v>
      </c>
      <c r="O6" s="1" t="s">
        <v>164</v>
      </c>
    </row>
    <row r="7" spans="1:16" x14ac:dyDescent="0.35">
      <c r="A7" s="1" t="s">
        <v>125</v>
      </c>
      <c r="B7" s="1" t="s">
        <v>126</v>
      </c>
      <c r="C7" s="1">
        <v>1997</v>
      </c>
      <c r="D7" s="1">
        <v>1997</v>
      </c>
      <c r="E7" s="1" t="s">
        <v>85</v>
      </c>
      <c r="F7" s="1" t="s">
        <v>103</v>
      </c>
      <c r="G7" s="1" t="s">
        <v>113</v>
      </c>
      <c r="H7" s="1" t="s">
        <v>109</v>
      </c>
      <c r="I7" s="1" t="s">
        <v>110</v>
      </c>
      <c r="J7" s="1">
        <v>1.5</v>
      </c>
      <c r="K7" s="1" t="s">
        <v>171</v>
      </c>
      <c r="L7" s="1" t="s">
        <v>85</v>
      </c>
      <c r="M7" s="1" t="s">
        <v>85</v>
      </c>
      <c r="N7" s="1">
        <v>28.15</v>
      </c>
      <c r="O7" s="1" t="s">
        <v>164</v>
      </c>
    </row>
    <row r="8" spans="1:16" x14ac:dyDescent="0.35">
      <c r="A8" s="1" t="s">
        <v>125</v>
      </c>
      <c r="B8" s="1" t="s">
        <v>126</v>
      </c>
      <c r="C8" s="1">
        <v>1997</v>
      </c>
      <c r="D8" s="1">
        <v>1997</v>
      </c>
      <c r="E8" s="1" t="s">
        <v>85</v>
      </c>
      <c r="F8" s="1" t="s">
        <v>103</v>
      </c>
      <c r="G8" s="1" t="s">
        <v>113</v>
      </c>
      <c r="H8" s="1" t="s">
        <v>109</v>
      </c>
      <c r="I8" s="1" t="s">
        <v>110</v>
      </c>
      <c r="J8" s="1">
        <v>2</v>
      </c>
      <c r="K8" s="1" t="s">
        <v>171</v>
      </c>
      <c r="L8" s="1" t="s">
        <v>85</v>
      </c>
      <c r="M8" s="1" t="s">
        <v>85</v>
      </c>
      <c r="N8" s="1">
        <v>47</v>
      </c>
      <c r="O8" s="1" t="s">
        <v>164</v>
      </c>
    </row>
    <row r="9" spans="1:16" x14ac:dyDescent="0.35">
      <c r="A9" s="1" t="s">
        <v>125</v>
      </c>
      <c r="B9" s="1" t="s">
        <v>126</v>
      </c>
      <c r="C9" s="1">
        <v>1997</v>
      </c>
      <c r="D9" s="1">
        <v>1997</v>
      </c>
      <c r="E9" s="1" t="s">
        <v>85</v>
      </c>
      <c r="F9" s="1" t="s">
        <v>103</v>
      </c>
      <c r="G9" s="1" t="s">
        <v>113</v>
      </c>
      <c r="H9" s="1" t="s">
        <v>109</v>
      </c>
      <c r="I9" s="1" t="s">
        <v>110</v>
      </c>
      <c r="J9" s="1">
        <v>3</v>
      </c>
      <c r="K9" s="1" t="s">
        <v>171</v>
      </c>
      <c r="L9" s="1" t="s">
        <v>85</v>
      </c>
      <c r="M9" s="1" t="s">
        <v>85</v>
      </c>
      <c r="N9" s="1">
        <v>92.5</v>
      </c>
      <c r="O9" s="1" t="s">
        <v>164</v>
      </c>
    </row>
    <row r="10" spans="1:16" x14ac:dyDescent="0.35">
      <c r="A10" s="1" t="s">
        <v>125</v>
      </c>
      <c r="B10" s="1" t="s">
        <v>126</v>
      </c>
      <c r="C10" s="1">
        <v>1997</v>
      </c>
      <c r="D10" s="1">
        <v>1997</v>
      </c>
      <c r="E10" s="1" t="s">
        <v>85</v>
      </c>
      <c r="F10" s="1" t="s">
        <v>103</v>
      </c>
      <c r="G10" s="1" t="s">
        <v>113</v>
      </c>
      <c r="H10" s="1" t="s">
        <v>109</v>
      </c>
      <c r="I10" s="1" t="s">
        <v>110</v>
      </c>
      <c r="J10" s="1">
        <v>4</v>
      </c>
      <c r="K10" s="1" t="s">
        <v>171</v>
      </c>
      <c r="L10" s="1" t="s">
        <v>85</v>
      </c>
      <c r="M10" s="1" t="s">
        <v>85</v>
      </c>
      <c r="N10" s="1">
        <v>115</v>
      </c>
      <c r="O10" s="1" t="s">
        <v>164</v>
      </c>
    </row>
    <row r="11" spans="1:16" x14ac:dyDescent="0.35">
      <c r="A11" s="1" t="s">
        <v>125</v>
      </c>
      <c r="B11" s="1" t="s">
        <v>126</v>
      </c>
      <c r="C11" s="1">
        <v>1997</v>
      </c>
      <c r="D11" s="1">
        <v>1997</v>
      </c>
      <c r="E11" s="1" t="s">
        <v>85</v>
      </c>
      <c r="F11" s="1" t="s">
        <v>103</v>
      </c>
      <c r="G11" s="1" t="s">
        <v>113</v>
      </c>
      <c r="H11" s="1" t="s">
        <v>109</v>
      </c>
      <c r="I11" s="1" t="s">
        <v>110</v>
      </c>
      <c r="J11" s="1">
        <v>6</v>
      </c>
      <c r="K11" s="1" t="s">
        <v>171</v>
      </c>
      <c r="L11" s="1" t="s">
        <v>85</v>
      </c>
      <c r="M11" s="1" t="s">
        <v>85</v>
      </c>
      <c r="N11" s="1">
        <v>228</v>
      </c>
      <c r="O11" s="1" t="s">
        <v>164</v>
      </c>
    </row>
    <row r="12" spans="1:16" x14ac:dyDescent="0.35">
      <c r="A12" s="1" t="s">
        <v>125</v>
      </c>
      <c r="B12" s="1" t="s">
        <v>126</v>
      </c>
      <c r="C12" s="1">
        <v>1997</v>
      </c>
      <c r="D12" s="1">
        <v>1997</v>
      </c>
      <c r="E12" s="1" t="s">
        <v>85</v>
      </c>
      <c r="F12" s="1" t="s">
        <v>103</v>
      </c>
      <c r="G12" s="1" t="s">
        <v>113</v>
      </c>
      <c r="H12" s="1" t="s">
        <v>109</v>
      </c>
      <c r="I12" s="1" t="s">
        <v>110</v>
      </c>
      <c r="J12" s="1">
        <v>8</v>
      </c>
      <c r="K12" s="1" t="s">
        <v>171</v>
      </c>
      <c r="L12" s="1" t="s">
        <v>85</v>
      </c>
      <c r="M12" s="1" t="s">
        <v>85</v>
      </c>
      <c r="N12" s="1">
        <v>559</v>
      </c>
      <c r="O12" s="1" t="s">
        <v>164</v>
      </c>
    </row>
    <row r="13" spans="1:16" x14ac:dyDescent="0.35">
      <c r="A13" s="1" t="s">
        <v>125</v>
      </c>
      <c r="B13" s="1" t="s">
        <v>126</v>
      </c>
      <c r="C13" s="1">
        <v>1997</v>
      </c>
      <c r="D13" s="1">
        <v>1997</v>
      </c>
      <c r="E13" s="1" t="s">
        <v>85</v>
      </c>
      <c r="F13" s="1" t="s">
        <v>103</v>
      </c>
      <c r="G13" s="1" t="s">
        <v>113</v>
      </c>
      <c r="H13" s="1" t="s">
        <v>109</v>
      </c>
      <c r="I13" s="1" t="s">
        <v>110</v>
      </c>
      <c r="J13" s="1">
        <v>10</v>
      </c>
      <c r="K13" s="1" t="s">
        <v>171</v>
      </c>
      <c r="L13" s="1" t="s">
        <v>85</v>
      </c>
      <c r="M13" s="1" t="s">
        <v>85</v>
      </c>
      <c r="N13" s="1">
        <v>887</v>
      </c>
      <c r="O13" s="1" t="s">
        <v>164</v>
      </c>
    </row>
    <row r="14" spans="1:16" x14ac:dyDescent="0.35">
      <c r="A14" s="1" t="s">
        <v>125</v>
      </c>
      <c r="B14" s="1" t="s">
        <v>126</v>
      </c>
      <c r="C14" s="1">
        <v>1997</v>
      </c>
      <c r="D14" s="1">
        <v>1997</v>
      </c>
      <c r="E14" s="1" t="s">
        <v>85</v>
      </c>
      <c r="F14" s="1" t="s">
        <v>103</v>
      </c>
      <c r="G14" s="1" t="s">
        <v>113</v>
      </c>
      <c r="H14" s="1" t="s">
        <v>111</v>
      </c>
      <c r="I14" s="1" t="s">
        <v>166</v>
      </c>
      <c r="J14" s="1">
        <v>100000</v>
      </c>
      <c r="K14" s="1" t="s">
        <v>165</v>
      </c>
      <c r="L14" s="1" t="s">
        <v>85</v>
      </c>
      <c r="M14" s="1" t="s">
        <v>85</v>
      </c>
      <c r="N14" s="1">
        <v>1.5955999999999999</v>
      </c>
      <c r="O14" s="1" t="s">
        <v>167</v>
      </c>
    </row>
    <row r="15" spans="1:16" x14ac:dyDescent="0.35">
      <c r="A15" s="1" t="s">
        <v>125</v>
      </c>
      <c r="B15" s="1" t="s">
        <v>126</v>
      </c>
      <c r="C15" s="1">
        <v>1997</v>
      </c>
      <c r="D15" s="1">
        <v>1997</v>
      </c>
      <c r="E15" s="1" t="s">
        <v>85</v>
      </c>
      <c r="F15" s="1" t="s">
        <v>103</v>
      </c>
      <c r="G15" s="1" t="s">
        <v>113</v>
      </c>
      <c r="H15" s="1" t="s">
        <v>111</v>
      </c>
      <c r="I15" s="1" t="s">
        <v>166</v>
      </c>
      <c r="J15" s="1">
        <v>500000</v>
      </c>
      <c r="K15" s="1" t="s">
        <v>165</v>
      </c>
      <c r="L15" s="1" t="s">
        <v>85</v>
      </c>
      <c r="M15" s="1" t="s">
        <v>85</v>
      </c>
      <c r="N15" s="1">
        <v>1.3046</v>
      </c>
      <c r="O15" s="1" t="s">
        <v>167</v>
      </c>
    </row>
    <row r="16" spans="1:16" x14ac:dyDescent="0.35">
      <c r="A16" s="1" t="s">
        <v>125</v>
      </c>
      <c r="B16" s="1" t="s">
        <v>126</v>
      </c>
      <c r="C16" s="1">
        <v>1997</v>
      </c>
      <c r="D16" s="1">
        <v>1997</v>
      </c>
      <c r="E16" s="1" t="s">
        <v>85</v>
      </c>
      <c r="F16" s="1" t="s">
        <v>103</v>
      </c>
      <c r="G16" s="1" t="s">
        <v>113</v>
      </c>
      <c r="H16" s="1" t="s">
        <v>111</v>
      </c>
      <c r="I16" s="1" t="s">
        <v>166</v>
      </c>
      <c r="J16" s="1" t="s">
        <v>168</v>
      </c>
      <c r="K16" s="1" t="s">
        <v>165</v>
      </c>
      <c r="L16" s="1" t="s">
        <v>85</v>
      </c>
      <c r="M16" s="1" t="s">
        <v>85</v>
      </c>
      <c r="N16" s="1">
        <v>1.0711999999999999</v>
      </c>
      <c r="O16" s="1" t="s">
        <v>167</v>
      </c>
    </row>
    <row r="17" spans="1:15" x14ac:dyDescent="0.35">
      <c r="A17" s="1" t="s">
        <v>125</v>
      </c>
      <c r="B17" s="1" t="s">
        <v>126</v>
      </c>
      <c r="C17" s="1">
        <v>1997</v>
      </c>
      <c r="D17" s="1">
        <v>1997</v>
      </c>
      <c r="E17" s="1" t="s">
        <v>85</v>
      </c>
      <c r="F17" s="1" t="s">
        <v>103</v>
      </c>
      <c r="G17" s="1" t="s">
        <v>113</v>
      </c>
      <c r="H17" s="1" t="s">
        <v>159</v>
      </c>
      <c r="I17" s="1" t="s">
        <v>110</v>
      </c>
      <c r="J17" s="1">
        <v>2</v>
      </c>
      <c r="K17" s="1" t="s">
        <v>171</v>
      </c>
      <c r="L17" s="1" t="s">
        <v>85</v>
      </c>
      <c r="M17" s="1" t="s">
        <v>85</v>
      </c>
      <c r="N17" s="1">
        <v>15.5</v>
      </c>
      <c r="O17" s="1" t="s">
        <v>169</v>
      </c>
    </row>
    <row r="18" spans="1:15" x14ac:dyDescent="0.35">
      <c r="A18" s="1" t="s">
        <v>125</v>
      </c>
      <c r="B18" s="1" t="s">
        <v>126</v>
      </c>
      <c r="C18" s="1">
        <v>1997</v>
      </c>
      <c r="D18" s="1">
        <v>1997</v>
      </c>
      <c r="E18" s="1" t="s">
        <v>85</v>
      </c>
      <c r="F18" s="1" t="s">
        <v>103</v>
      </c>
      <c r="G18" s="1" t="s">
        <v>113</v>
      </c>
      <c r="H18" s="1" t="s">
        <v>159</v>
      </c>
      <c r="I18" s="1" t="s">
        <v>110</v>
      </c>
      <c r="J18" s="1">
        <v>3</v>
      </c>
      <c r="K18" s="1" t="s">
        <v>171</v>
      </c>
      <c r="L18" s="1" t="s">
        <v>85</v>
      </c>
      <c r="M18" s="1" t="s">
        <v>85</v>
      </c>
      <c r="N18" s="1">
        <v>23</v>
      </c>
      <c r="O18" s="1" t="s">
        <v>169</v>
      </c>
    </row>
    <row r="19" spans="1:15" x14ac:dyDescent="0.35">
      <c r="A19" s="1" t="s">
        <v>125</v>
      </c>
      <c r="B19" s="1" t="s">
        <v>126</v>
      </c>
      <c r="C19" s="1">
        <v>1997</v>
      </c>
      <c r="D19" s="1">
        <v>1997</v>
      </c>
      <c r="E19" s="1" t="s">
        <v>85</v>
      </c>
      <c r="F19" s="1" t="s">
        <v>103</v>
      </c>
      <c r="G19" s="1" t="s">
        <v>113</v>
      </c>
      <c r="H19" s="1" t="s">
        <v>159</v>
      </c>
      <c r="I19" s="1" t="s">
        <v>110</v>
      </c>
      <c r="J19" s="1">
        <v>4</v>
      </c>
      <c r="K19" s="1" t="s">
        <v>171</v>
      </c>
      <c r="L19" s="1" t="s">
        <v>85</v>
      </c>
      <c r="M19" s="1" t="s">
        <v>85</v>
      </c>
      <c r="N19" s="1">
        <v>38.5</v>
      </c>
      <c r="O19" s="1" t="s">
        <v>169</v>
      </c>
    </row>
    <row r="20" spans="1:15" x14ac:dyDescent="0.35">
      <c r="A20" s="1" t="s">
        <v>125</v>
      </c>
      <c r="B20" s="1" t="s">
        <v>126</v>
      </c>
      <c r="C20" s="1">
        <v>1997</v>
      </c>
      <c r="D20" s="1">
        <v>1997</v>
      </c>
      <c r="E20" s="1" t="s">
        <v>85</v>
      </c>
      <c r="F20" s="1" t="s">
        <v>103</v>
      </c>
      <c r="G20" s="1" t="s">
        <v>113</v>
      </c>
      <c r="H20" s="1" t="s">
        <v>159</v>
      </c>
      <c r="I20" s="1" t="s">
        <v>110</v>
      </c>
      <c r="J20" s="1">
        <v>6</v>
      </c>
      <c r="K20" s="1" t="s">
        <v>171</v>
      </c>
      <c r="L20" s="1" t="s">
        <v>85</v>
      </c>
      <c r="M20" s="1" t="s">
        <v>85</v>
      </c>
      <c r="N20" s="1">
        <v>70.5</v>
      </c>
      <c r="O20" s="1" t="s">
        <v>169</v>
      </c>
    </row>
    <row r="21" spans="1:15" x14ac:dyDescent="0.35">
      <c r="A21" s="1" t="s">
        <v>125</v>
      </c>
      <c r="B21" s="1" t="s">
        <v>126</v>
      </c>
      <c r="C21" s="1">
        <v>1997</v>
      </c>
      <c r="D21" s="1">
        <v>1997</v>
      </c>
      <c r="E21" s="1" t="s">
        <v>85</v>
      </c>
      <c r="F21" s="1" t="s">
        <v>103</v>
      </c>
      <c r="G21" s="1" t="s">
        <v>113</v>
      </c>
      <c r="H21" s="1" t="s">
        <v>159</v>
      </c>
      <c r="I21" s="1" t="s">
        <v>110</v>
      </c>
      <c r="J21" s="1">
        <v>8</v>
      </c>
      <c r="K21" s="1" t="s">
        <v>171</v>
      </c>
      <c r="L21" s="1" t="s">
        <v>85</v>
      </c>
      <c r="M21" s="1" t="s">
        <v>85</v>
      </c>
      <c r="N21" s="1">
        <v>104</v>
      </c>
      <c r="O21" s="1" t="s">
        <v>169</v>
      </c>
    </row>
    <row r="22" spans="1:15" x14ac:dyDescent="0.35">
      <c r="A22" s="1" t="s">
        <v>125</v>
      </c>
      <c r="B22" s="1" t="s">
        <v>126</v>
      </c>
      <c r="C22" s="1">
        <v>1997</v>
      </c>
      <c r="D22" s="1">
        <v>1997</v>
      </c>
      <c r="E22" s="1" t="s">
        <v>85</v>
      </c>
      <c r="F22" s="1" t="s">
        <v>103</v>
      </c>
      <c r="G22" s="1" t="s">
        <v>113</v>
      </c>
      <c r="H22" s="1" t="s">
        <v>159</v>
      </c>
      <c r="I22" s="1" t="s">
        <v>110</v>
      </c>
      <c r="J22" s="1">
        <v>10</v>
      </c>
      <c r="K22" s="1" t="s">
        <v>171</v>
      </c>
      <c r="L22" s="1" t="s">
        <v>85</v>
      </c>
      <c r="M22" s="1" t="s">
        <v>85</v>
      </c>
      <c r="N22" s="1">
        <v>137</v>
      </c>
      <c r="O22" s="1" t="s">
        <v>169</v>
      </c>
    </row>
    <row r="23" spans="1:15" x14ac:dyDescent="0.35">
      <c r="A23" s="1" t="s">
        <v>125</v>
      </c>
      <c r="B23" s="1" t="s">
        <v>126</v>
      </c>
      <c r="C23" s="1">
        <v>1997</v>
      </c>
      <c r="D23" s="1">
        <v>1997</v>
      </c>
      <c r="E23" s="1" t="s">
        <v>85</v>
      </c>
      <c r="F23" s="1" t="s">
        <v>103</v>
      </c>
      <c r="G23" s="1" t="s">
        <v>87</v>
      </c>
      <c r="H23" s="1" t="s">
        <v>159</v>
      </c>
      <c r="I23" s="1" t="s">
        <v>170</v>
      </c>
      <c r="J23" s="1" t="s">
        <v>85</v>
      </c>
      <c r="K23" s="1" t="s">
        <v>85</v>
      </c>
      <c r="L23" s="1" t="s">
        <v>85</v>
      </c>
      <c r="M23" s="1" t="s">
        <v>85</v>
      </c>
      <c r="N23" s="1">
        <v>176</v>
      </c>
      <c r="O23" s="1" t="s">
        <v>169</v>
      </c>
    </row>
    <row r="24" spans="1:15" x14ac:dyDescent="0.35">
      <c r="A24" s="1" t="s">
        <v>125</v>
      </c>
      <c r="B24" s="1" t="s">
        <v>126</v>
      </c>
      <c r="C24" s="1">
        <v>2002</v>
      </c>
      <c r="D24" s="1">
        <v>2002</v>
      </c>
      <c r="E24" s="1" t="s">
        <v>85</v>
      </c>
      <c r="F24" s="1" t="s">
        <v>103</v>
      </c>
      <c r="G24" s="1" t="s">
        <v>113</v>
      </c>
      <c r="H24" s="1" t="s">
        <v>109</v>
      </c>
      <c r="I24" s="1" t="s">
        <v>110</v>
      </c>
      <c r="J24" s="1">
        <f>5/8</f>
        <v>0.625</v>
      </c>
      <c r="K24" s="1" t="s">
        <v>171</v>
      </c>
      <c r="L24" s="1" t="s">
        <v>85</v>
      </c>
      <c r="M24" s="1" t="s">
        <v>85</v>
      </c>
      <c r="N24" s="1">
        <v>6.25</v>
      </c>
      <c r="O24" s="1" t="s">
        <v>164</v>
      </c>
    </row>
    <row r="25" spans="1:15" x14ac:dyDescent="0.35">
      <c r="A25" s="1" t="s">
        <v>125</v>
      </c>
      <c r="B25" s="1" t="s">
        <v>126</v>
      </c>
      <c r="C25" s="1">
        <v>2002</v>
      </c>
      <c r="D25" s="1">
        <v>2002</v>
      </c>
      <c r="E25" s="1" t="s">
        <v>85</v>
      </c>
      <c r="F25" s="1" t="s">
        <v>103</v>
      </c>
      <c r="G25" s="1" t="s">
        <v>113</v>
      </c>
      <c r="H25" s="1" t="s">
        <v>109</v>
      </c>
      <c r="I25" s="1" t="s">
        <v>110</v>
      </c>
      <c r="J25" s="1">
        <v>0.75</v>
      </c>
      <c r="K25" s="1" t="s">
        <v>171</v>
      </c>
      <c r="L25" s="1" t="s">
        <v>85</v>
      </c>
      <c r="M25" s="1" t="s">
        <v>85</v>
      </c>
      <c r="N25" s="1">
        <v>12.61</v>
      </c>
      <c r="O25" s="1" t="s">
        <v>164</v>
      </c>
    </row>
    <row r="26" spans="1:15" x14ac:dyDescent="0.35">
      <c r="A26" s="1" t="s">
        <v>125</v>
      </c>
      <c r="B26" s="1" t="s">
        <v>126</v>
      </c>
      <c r="C26" s="1">
        <v>2002</v>
      </c>
      <c r="D26" s="1">
        <v>2002</v>
      </c>
      <c r="E26" s="1" t="s">
        <v>85</v>
      </c>
      <c r="F26" s="1" t="s">
        <v>103</v>
      </c>
      <c r="G26" s="1" t="s">
        <v>113</v>
      </c>
      <c r="H26" s="1" t="s">
        <v>109</v>
      </c>
      <c r="I26" s="1" t="s">
        <v>110</v>
      </c>
      <c r="J26" s="1">
        <v>1</v>
      </c>
      <c r="K26" s="1" t="s">
        <v>171</v>
      </c>
      <c r="L26" s="1" t="s">
        <v>85</v>
      </c>
      <c r="M26" s="1" t="s">
        <v>85</v>
      </c>
      <c r="N26" s="1">
        <v>20.66</v>
      </c>
      <c r="O26" s="1" t="s">
        <v>164</v>
      </c>
    </row>
    <row r="27" spans="1:15" x14ac:dyDescent="0.35">
      <c r="A27" s="1" t="s">
        <v>125</v>
      </c>
      <c r="B27" s="1" t="s">
        <v>126</v>
      </c>
      <c r="C27" s="1">
        <v>2002</v>
      </c>
      <c r="D27" s="1">
        <v>2002</v>
      </c>
      <c r="E27" s="1" t="s">
        <v>85</v>
      </c>
      <c r="F27" s="1" t="s">
        <v>103</v>
      </c>
      <c r="G27" s="1" t="s">
        <v>113</v>
      </c>
      <c r="H27" s="1" t="s">
        <v>111</v>
      </c>
      <c r="I27" s="1" t="s">
        <v>166</v>
      </c>
      <c r="J27" s="1" t="s">
        <v>85</v>
      </c>
      <c r="K27" s="1" t="s">
        <v>165</v>
      </c>
      <c r="L27" s="1" t="s">
        <v>85</v>
      </c>
      <c r="M27" s="1" t="s">
        <v>85</v>
      </c>
      <c r="N27" s="1">
        <v>2.1171000000000002</v>
      </c>
      <c r="O27" s="1" t="s">
        <v>163</v>
      </c>
    </row>
    <row r="28" spans="1:15" x14ac:dyDescent="0.35">
      <c r="A28" s="1" t="s">
        <v>125</v>
      </c>
      <c r="B28" s="1" t="s">
        <v>126</v>
      </c>
      <c r="C28" s="1">
        <v>2002</v>
      </c>
      <c r="D28" s="1">
        <v>2002</v>
      </c>
      <c r="E28" s="1" t="s">
        <v>85</v>
      </c>
      <c r="F28" s="1" t="s">
        <v>103</v>
      </c>
      <c r="G28" s="1" t="s">
        <v>113</v>
      </c>
      <c r="H28" s="1" t="s">
        <v>111</v>
      </c>
      <c r="I28" s="1" t="s">
        <v>173</v>
      </c>
      <c r="J28" s="1" t="s">
        <v>85</v>
      </c>
      <c r="K28" s="1" t="s">
        <v>112</v>
      </c>
      <c r="L28" s="1" t="s">
        <v>85</v>
      </c>
      <c r="M28" s="1" t="s">
        <v>85</v>
      </c>
      <c r="N28" s="1">
        <v>2.8302</v>
      </c>
      <c r="O28" s="1" t="s">
        <v>172</v>
      </c>
    </row>
    <row r="29" spans="1:15" x14ac:dyDescent="0.35">
      <c r="A29" s="1" t="s">
        <v>125</v>
      </c>
      <c r="B29" s="1" t="s">
        <v>126</v>
      </c>
      <c r="C29" s="1">
        <v>2002</v>
      </c>
      <c r="D29" s="1">
        <v>2002</v>
      </c>
      <c r="E29" s="1" t="s">
        <v>85</v>
      </c>
      <c r="F29" s="1" t="s">
        <v>103</v>
      </c>
      <c r="G29" s="1" t="s">
        <v>113</v>
      </c>
      <c r="H29" s="1" t="s">
        <v>109</v>
      </c>
      <c r="I29" s="1" t="s">
        <v>110</v>
      </c>
      <c r="J29" s="1">
        <v>1.25</v>
      </c>
      <c r="K29" s="1" t="s">
        <v>171</v>
      </c>
      <c r="L29" s="1" t="s">
        <v>85</v>
      </c>
      <c r="M29" s="1" t="s">
        <v>85</v>
      </c>
      <c r="N29" s="1">
        <v>32.36</v>
      </c>
      <c r="O29" s="1" t="s">
        <v>164</v>
      </c>
    </row>
    <row r="30" spans="1:15" x14ac:dyDescent="0.35">
      <c r="A30" s="1" t="s">
        <v>125</v>
      </c>
      <c r="B30" s="1" t="s">
        <v>126</v>
      </c>
      <c r="C30" s="1">
        <v>2002</v>
      </c>
      <c r="D30" s="1">
        <v>2002</v>
      </c>
      <c r="E30" s="1" t="s">
        <v>85</v>
      </c>
      <c r="F30" s="1" t="s">
        <v>103</v>
      </c>
      <c r="G30" s="1" t="s">
        <v>113</v>
      </c>
      <c r="H30" s="1" t="s">
        <v>109</v>
      </c>
      <c r="I30" s="1" t="s">
        <v>110</v>
      </c>
      <c r="J30" s="1">
        <v>1.5</v>
      </c>
      <c r="K30" s="1" t="s">
        <v>171</v>
      </c>
      <c r="L30" s="1" t="s">
        <v>85</v>
      </c>
      <c r="M30" s="1" t="s">
        <v>85</v>
      </c>
      <c r="N30" s="1">
        <v>37</v>
      </c>
      <c r="O30" s="1" t="s">
        <v>164</v>
      </c>
    </row>
    <row r="31" spans="1:15" x14ac:dyDescent="0.35">
      <c r="A31" s="1" t="s">
        <v>125</v>
      </c>
      <c r="B31" s="1" t="s">
        <v>126</v>
      </c>
      <c r="C31" s="1">
        <v>2002</v>
      </c>
      <c r="D31" s="1">
        <v>2002</v>
      </c>
      <c r="E31" s="1" t="s">
        <v>85</v>
      </c>
      <c r="F31" s="1" t="s">
        <v>103</v>
      </c>
      <c r="G31" s="1" t="s">
        <v>113</v>
      </c>
      <c r="H31" s="1" t="s">
        <v>109</v>
      </c>
      <c r="I31" s="1" t="s">
        <v>110</v>
      </c>
      <c r="J31" s="1">
        <v>2</v>
      </c>
      <c r="K31" s="1" t="s">
        <v>171</v>
      </c>
      <c r="L31" s="1" t="s">
        <v>85</v>
      </c>
      <c r="M31" s="1" t="s">
        <v>85</v>
      </c>
      <c r="N31" s="1">
        <v>60.98</v>
      </c>
      <c r="O31" s="1" t="s">
        <v>164</v>
      </c>
    </row>
    <row r="32" spans="1:15" x14ac:dyDescent="0.35">
      <c r="A32" s="1" t="s">
        <v>125</v>
      </c>
      <c r="B32" s="1" t="s">
        <v>126</v>
      </c>
      <c r="C32" s="1">
        <v>2002</v>
      </c>
      <c r="D32" s="1">
        <v>2002</v>
      </c>
      <c r="E32" s="1" t="s">
        <v>85</v>
      </c>
      <c r="F32" s="1" t="s">
        <v>103</v>
      </c>
      <c r="G32" s="1" t="s">
        <v>113</v>
      </c>
      <c r="H32" s="1" t="s">
        <v>109</v>
      </c>
      <c r="I32" s="1" t="s">
        <v>110</v>
      </c>
      <c r="J32" s="1">
        <v>3</v>
      </c>
      <c r="K32" s="1" t="s">
        <v>171</v>
      </c>
      <c r="L32" s="1" t="s">
        <v>85</v>
      </c>
      <c r="M32" s="1" t="s">
        <v>85</v>
      </c>
      <c r="N32" s="1">
        <v>118.86</v>
      </c>
      <c r="O32" s="1" t="s">
        <v>164</v>
      </c>
    </row>
    <row r="33" spans="1:15" x14ac:dyDescent="0.35">
      <c r="A33" s="1" t="s">
        <v>125</v>
      </c>
      <c r="B33" s="1" t="s">
        <v>126</v>
      </c>
      <c r="C33" s="1">
        <v>2002</v>
      </c>
      <c r="D33" s="1">
        <v>2002</v>
      </c>
      <c r="E33" s="1" t="s">
        <v>85</v>
      </c>
      <c r="F33" s="1" t="s">
        <v>103</v>
      </c>
      <c r="G33" s="1" t="s">
        <v>113</v>
      </c>
      <c r="H33" s="1" t="s">
        <v>109</v>
      </c>
      <c r="I33" s="1" t="s">
        <v>110</v>
      </c>
      <c r="J33" s="1">
        <v>4</v>
      </c>
      <c r="K33" s="1" t="s">
        <v>171</v>
      </c>
      <c r="L33" s="1" t="s">
        <v>85</v>
      </c>
      <c r="M33" s="1" t="s">
        <v>85</v>
      </c>
      <c r="N33" s="1">
        <v>147.47999999999999</v>
      </c>
      <c r="O33" s="1" t="s">
        <v>164</v>
      </c>
    </row>
    <row r="34" spans="1:15" x14ac:dyDescent="0.35">
      <c r="A34" s="1" t="s">
        <v>125</v>
      </c>
      <c r="B34" s="1" t="s">
        <v>126</v>
      </c>
      <c r="C34" s="1">
        <v>2002</v>
      </c>
      <c r="D34" s="1">
        <v>2002</v>
      </c>
      <c r="E34" s="1" t="s">
        <v>85</v>
      </c>
      <c r="F34" s="1" t="s">
        <v>103</v>
      </c>
      <c r="G34" s="1" t="s">
        <v>113</v>
      </c>
      <c r="H34" s="1" t="s">
        <v>109</v>
      </c>
      <c r="I34" s="1" t="s">
        <v>110</v>
      </c>
      <c r="J34" s="1">
        <v>6</v>
      </c>
      <c r="K34" s="1" t="s">
        <v>171</v>
      </c>
      <c r="L34" s="1" t="s">
        <v>85</v>
      </c>
      <c r="M34" s="1" t="s">
        <v>85</v>
      </c>
      <c r="N34" s="1">
        <v>291.22000000000003</v>
      </c>
      <c r="O34" s="1" t="s">
        <v>164</v>
      </c>
    </row>
    <row r="35" spans="1:15" x14ac:dyDescent="0.35">
      <c r="A35" s="1" t="s">
        <v>125</v>
      </c>
      <c r="B35" s="1" t="s">
        <v>126</v>
      </c>
      <c r="C35" s="1">
        <v>2002</v>
      </c>
      <c r="D35" s="1">
        <v>2002</v>
      </c>
      <c r="E35" s="1" t="s">
        <v>85</v>
      </c>
      <c r="F35" s="1" t="s">
        <v>103</v>
      </c>
      <c r="G35" s="1" t="s">
        <v>113</v>
      </c>
      <c r="H35" s="1" t="s">
        <v>109</v>
      </c>
      <c r="I35" s="1" t="s">
        <v>110</v>
      </c>
      <c r="J35" s="1">
        <v>8</v>
      </c>
      <c r="K35" s="1" t="s">
        <v>171</v>
      </c>
      <c r="L35" s="1" t="s">
        <v>85</v>
      </c>
      <c r="M35" s="1" t="s">
        <v>85</v>
      </c>
      <c r="N35" s="1">
        <v>724.97</v>
      </c>
      <c r="O35" s="1" t="s">
        <v>164</v>
      </c>
    </row>
    <row r="36" spans="1:15" x14ac:dyDescent="0.35">
      <c r="A36" s="1" t="s">
        <v>125</v>
      </c>
      <c r="B36" s="1" t="s">
        <v>126</v>
      </c>
      <c r="C36" s="1">
        <v>2002</v>
      </c>
      <c r="D36" s="1">
        <v>2002</v>
      </c>
      <c r="E36" s="1" t="s">
        <v>85</v>
      </c>
      <c r="F36" s="1" t="s">
        <v>103</v>
      </c>
      <c r="G36" s="1" t="s">
        <v>113</v>
      </c>
      <c r="H36" s="1" t="s">
        <v>109</v>
      </c>
      <c r="I36" s="1" t="s">
        <v>110</v>
      </c>
      <c r="J36" s="1">
        <v>10</v>
      </c>
      <c r="K36" s="1" t="s">
        <v>171</v>
      </c>
      <c r="L36" s="1" t="s">
        <v>85</v>
      </c>
      <c r="M36" s="1" t="s">
        <v>85</v>
      </c>
      <c r="N36" s="1">
        <v>1129.46</v>
      </c>
      <c r="O36" s="1" t="s">
        <v>164</v>
      </c>
    </row>
    <row r="37" spans="1:15" x14ac:dyDescent="0.35">
      <c r="A37" s="1" t="s">
        <v>125</v>
      </c>
      <c r="B37" s="1" t="s">
        <v>126</v>
      </c>
      <c r="C37" s="1">
        <v>2002</v>
      </c>
      <c r="D37" s="1">
        <v>2002</v>
      </c>
      <c r="E37" s="1" t="s">
        <v>85</v>
      </c>
      <c r="F37" s="1" t="s">
        <v>103</v>
      </c>
      <c r="G37" s="1" t="s">
        <v>113</v>
      </c>
      <c r="H37" s="1" t="s">
        <v>111</v>
      </c>
      <c r="I37" s="1" t="s">
        <v>166</v>
      </c>
      <c r="J37" s="1">
        <v>100000</v>
      </c>
      <c r="K37" s="1" t="s">
        <v>165</v>
      </c>
      <c r="L37" s="1" t="s">
        <v>85</v>
      </c>
      <c r="M37" s="1" t="s">
        <v>85</v>
      </c>
      <c r="N37" s="1">
        <v>2.0295999999999998</v>
      </c>
      <c r="O37" s="1" t="s">
        <v>167</v>
      </c>
    </row>
    <row r="38" spans="1:15" x14ac:dyDescent="0.35">
      <c r="A38" s="1" t="s">
        <v>125</v>
      </c>
      <c r="B38" s="1" t="s">
        <v>126</v>
      </c>
      <c r="C38" s="1">
        <v>2002</v>
      </c>
      <c r="D38" s="1">
        <v>2002</v>
      </c>
      <c r="E38" s="1" t="s">
        <v>85</v>
      </c>
      <c r="F38" s="1" t="s">
        <v>103</v>
      </c>
      <c r="G38" s="1" t="s">
        <v>113</v>
      </c>
      <c r="H38" s="1" t="s">
        <v>111</v>
      </c>
      <c r="I38" s="1" t="s">
        <v>166</v>
      </c>
      <c r="J38" s="1">
        <v>500000</v>
      </c>
      <c r="K38" s="1" t="s">
        <v>165</v>
      </c>
      <c r="L38" s="1" t="s">
        <v>85</v>
      </c>
      <c r="M38" s="1" t="s">
        <v>85</v>
      </c>
      <c r="N38" s="1">
        <v>1.6595</v>
      </c>
      <c r="O38" s="1" t="s">
        <v>167</v>
      </c>
    </row>
    <row r="39" spans="1:15" x14ac:dyDescent="0.35">
      <c r="A39" s="1" t="s">
        <v>125</v>
      </c>
      <c r="B39" s="1" t="s">
        <v>126</v>
      </c>
      <c r="C39" s="1">
        <v>2002</v>
      </c>
      <c r="D39" s="1">
        <v>2002</v>
      </c>
      <c r="E39" s="1" t="s">
        <v>85</v>
      </c>
      <c r="F39" s="1" t="s">
        <v>103</v>
      </c>
      <c r="G39" s="1" t="s">
        <v>113</v>
      </c>
      <c r="H39" s="1" t="s">
        <v>111</v>
      </c>
      <c r="I39" s="1" t="s">
        <v>166</v>
      </c>
      <c r="J39" s="1" t="s">
        <v>168</v>
      </c>
      <c r="K39" s="1" t="s">
        <v>165</v>
      </c>
      <c r="L39" s="1" t="s">
        <v>85</v>
      </c>
      <c r="M39" s="1" t="s">
        <v>85</v>
      </c>
      <c r="N39" s="1">
        <v>1.3626</v>
      </c>
      <c r="O39" s="1" t="s">
        <v>167</v>
      </c>
    </row>
    <row r="40" spans="1:15" x14ac:dyDescent="0.35">
      <c r="A40" s="1" t="s">
        <v>125</v>
      </c>
      <c r="B40" s="1" t="s">
        <v>126</v>
      </c>
      <c r="C40" s="1">
        <v>2002</v>
      </c>
      <c r="D40" s="1">
        <v>2002</v>
      </c>
      <c r="E40" s="1" t="s">
        <v>85</v>
      </c>
      <c r="F40" s="1" t="s">
        <v>103</v>
      </c>
      <c r="G40" s="1" t="s">
        <v>113</v>
      </c>
      <c r="H40" s="1" t="s">
        <v>111</v>
      </c>
      <c r="I40" s="1" t="s">
        <v>173</v>
      </c>
      <c r="J40" s="1">
        <v>750000</v>
      </c>
      <c r="K40" s="1" t="s">
        <v>112</v>
      </c>
      <c r="L40" s="1" t="s">
        <v>85</v>
      </c>
      <c r="M40" s="1" t="s">
        <v>85</v>
      </c>
      <c r="N40" s="1">
        <v>2.7132000000000001</v>
      </c>
      <c r="O40" s="1" t="s">
        <v>172</v>
      </c>
    </row>
    <row r="41" spans="1:15" x14ac:dyDescent="0.35">
      <c r="A41" s="1" t="s">
        <v>125</v>
      </c>
      <c r="B41" s="1" t="s">
        <v>126</v>
      </c>
      <c r="C41" s="1">
        <v>2002</v>
      </c>
      <c r="D41" s="1">
        <v>2002</v>
      </c>
      <c r="E41" s="1" t="s">
        <v>85</v>
      </c>
      <c r="F41" s="1" t="s">
        <v>103</v>
      </c>
      <c r="G41" s="1" t="s">
        <v>113</v>
      </c>
      <c r="H41" s="1" t="s">
        <v>111</v>
      </c>
      <c r="I41" s="1" t="s">
        <v>173</v>
      </c>
      <c r="J41" s="1">
        <v>3750000</v>
      </c>
      <c r="K41" s="1" t="s">
        <v>112</v>
      </c>
      <c r="L41" s="1" t="s">
        <v>85</v>
      </c>
      <c r="M41" s="1" t="s">
        <v>85</v>
      </c>
      <c r="N41" s="1">
        <v>2.2183999999999999</v>
      </c>
      <c r="O41" s="1" t="s">
        <v>172</v>
      </c>
    </row>
    <row r="42" spans="1:15" x14ac:dyDescent="0.35">
      <c r="A42" s="1" t="s">
        <v>125</v>
      </c>
      <c r="B42" s="1" t="s">
        <v>126</v>
      </c>
      <c r="C42" s="1">
        <v>2002</v>
      </c>
      <c r="D42" s="1">
        <v>2002</v>
      </c>
      <c r="E42" s="1" t="s">
        <v>85</v>
      </c>
      <c r="F42" s="1" t="s">
        <v>103</v>
      </c>
      <c r="G42" s="1" t="s">
        <v>113</v>
      </c>
      <c r="H42" s="1" t="s">
        <v>111</v>
      </c>
      <c r="I42" s="1" t="s">
        <v>173</v>
      </c>
      <c r="J42" s="1" t="s">
        <v>174</v>
      </c>
      <c r="K42" s="1" t="s">
        <v>112</v>
      </c>
      <c r="L42" s="1" t="s">
        <v>85</v>
      </c>
      <c r="M42" s="1" t="s">
        <v>85</v>
      </c>
      <c r="N42" s="1">
        <v>1.8214999999999999</v>
      </c>
      <c r="O42" s="1" t="s">
        <v>172</v>
      </c>
    </row>
    <row r="43" spans="1:15" x14ac:dyDescent="0.35">
      <c r="A43" s="1" t="s">
        <v>125</v>
      </c>
      <c r="B43" s="1" t="s">
        <v>126</v>
      </c>
      <c r="C43" s="1">
        <v>2002</v>
      </c>
      <c r="D43" s="1">
        <v>2002</v>
      </c>
      <c r="E43" s="1" t="s">
        <v>85</v>
      </c>
      <c r="F43" s="1" t="s">
        <v>103</v>
      </c>
      <c r="G43" s="1" t="s">
        <v>113</v>
      </c>
      <c r="H43" s="1" t="s">
        <v>159</v>
      </c>
      <c r="I43" s="1" t="s">
        <v>110</v>
      </c>
      <c r="J43" s="1">
        <v>2</v>
      </c>
      <c r="K43" s="1" t="s">
        <v>171</v>
      </c>
      <c r="L43" s="1" t="s">
        <v>85</v>
      </c>
      <c r="M43" s="1" t="s">
        <v>85</v>
      </c>
      <c r="N43" s="1">
        <v>19.72</v>
      </c>
      <c r="O43" s="1" t="s">
        <v>169</v>
      </c>
    </row>
    <row r="44" spans="1:15" x14ac:dyDescent="0.35">
      <c r="A44" s="1" t="s">
        <v>125</v>
      </c>
      <c r="B44" s="1" t="s">
        <v>126</v>
      </c>
      <c r="C44" s="1">
        <v>2002</v>
      </c>
      <c r="D44" s="1">
        <v>2002</v>
      </c>
      <c r="E44" s="1" t="s">
        <v>85</v>
      </c>
      <c r="F44" s="1" t="s">
        <v>103</v>
      </c>
      <c r="G44" s="1" t="s">
        <v>113</v>
      </c>
      <c r="H44" s="1" t="s">
        <v>159</v>
      </c>
      <c r="I44" s="1" t="s">
        <v>110</v>
      </c>
      <c r="J44" s="1">
        <v>3</v>
      </c>
      <c r="K44" s="1" t="s">
        <v>171</v>
      </c>
      <c r="L44" s="1" t="s">
        <v>85</v>
      </c>
      <c r="M44" s="1" t="s">
        <v>85</v>
      </c>
      <c r="N44" s="1">
        <v>29.26</v>
      </c>
      <c r="O44" s="1" t="s">
        <v>169</v>
      </c>
    </row>
    <row r="45" spans="1:15" x14ac:dyDescent="0.35">
      <c r="A45" s="1" t="s">
        <v>125</v>
      </c>
      <c r="B45" s="1" t="s">
        <v>126</v>
      </c>
      <c r="C45" s="1">
        <v>2002</v>
      </c>
      <c r="D45" s="1">
        <v>2002</v>
      </c>
      <c r="E45" s="1" t="s">
        <v>85</v>
      </c>
      <c r="F45" s="1" t="s">
        <v>103</v>
      </c>
      <c r="G45" s="1" t="s">
        <v>113</v>
      </c>
      <c r="H45" s="1" t="s">
        <v>159</v>
      </c>
      <c r="I45" s="1" t="s">
        <v>110</v>
      </c>
      <c r="J45" s="1">
        <v>4</v>
      </c>
      <c r="K45" s="1" t="s">
        <v>171</v>
      </c>
      <c r="L45" s="1" t="s">
        <v>85</v>
      </c>
      <c r="M45" s="1" t="s">
        <v>85</v>
      </c>
      <c r="N45" s="1">
        <v>48.97</v>
      </c>
      <c r="O45" s="1" t="s">
        <v>169</v>
      </c>
    </row>
    <row r="46" spans="1:15" x14ac:dyDescent="0.35">
      <c r="A46" s="1" t="s">
        <v>125</v>
      </c>
      <c r="B46" s="1" t="s">
        <v>126</v>
      </c>
      <c r="C46" s="1">
        <v>2002</v>
      </c>
      <c r="D46" s="1">
        <v>2002</v>
      </c>
      <c r="E46" s="1" t="s">
        <v>85</v>
      </c>
      <c r="F46" s="1" t="s">
        <v>103</v>
      </c>
      <c r="G46" s="1" t="s">
        <v>113</v>
      </c>
      <c r="H46" s="1" t="s">
        <v>159</v>
      </c>
      <c r="I46" s="1" t="s">
        <v>110</v>
      </c>
      <c r="J46" s="1">
        <v>6</v>
      </c>
      <c r="K46" s="1" t="s">
        <v>171</v>
      </c>
      <c r="L46" s="1" t="s">
        <v>85</v>
      </c>
      <c r="M46" s="1" t="s">
        <v>85</v>
      </c>
      <c r="N46" s="1">
        <v>89.68</v>
      </c>
      <c r="O46" s="1" t="s">
        <v>169</v>
      </c>
    </row>
    <row r="47" spans="1:15" x14ac:dyDescent="0.35">
      <c r="A47" s="1" t="s">
        <v>125</v>
      </c>
      <c r="B47" s="1" t="s">
        <v>126</v>
      </c>
      <c r="C47" s="1">
        <v>2002</v>
      </c>
      <c r="D47" s="1">
        <v>2002</v>
      </c>
      <c r="E47" s="1" t="s">
        <v>85</v>
      </c>
      <c r="F47" s="1" t="s">
        <v>103</v>
      </c>
      <c r="G47" s="1" t="s">
        <v>113</v>
      </c>
      <c r="H47" s="1" t="s">
        <v>159</v>
      </c>
      <c r="I47" s="1" t="s">
        <v>110</v>
      </c>
      <c r="J47" s="1">
        <v>8</v>
      </c>
      <c r="K47" s="1" t="s">
        <v>171</v>
      </c>
      <c r="L47" s="1" t="s">
        <v>85</v>
      </c>
      <c r="M47" s="1" t="s">
        <v>85</v>
      </c>
      <c r="N47" s="1">
        <v>132.29</v>
      </c>
      <c r="O47" s="1" t="s">
        <v>169</v>
      </c>
    </row>
    <row r="48" spans="1:15" x14ac:dyDescent="0.35">
      <c r="A48" s="1" t="s">
        <v>125</v>
      </c>
      <c r="B48" s="1" t="s">
        <v>126</v>
      </c>
      <c r="C48" s="1">
        <v>2002</v>
      </c>
      <c r="D48" s="1">
        <v>2002</v>
      </c>
      <c r="E48" s="1" t="s">
        <v>85</v>
      </c>
      <c r="F48" s="1" t="s">
        <v>103</v>
      </c>
      <c r="G48" s="1" t="s">
        <v>113</v>
      </c>
      <c r="H48" s="1" t="s">
        <v>159</v>
      </c>
      <c r="I48" s="1" t="s">
        <v>110</v>
      </c>
      <c r="J48" s="1">
        <v>10</v>
      </c>
      <c r="K48" s="1" t="s">
        <v>171</v>
      </c>
      <c r="L48" s="1" t="s">
        <v>85</v>
      </c>
      <c r="M48" s="1" t="s">
        <v>85</v>
      </c>
      <c r="N48" s="1">
        <v>174.26</v>
      </c>
      <c r="O48" s="1" t="s">
        <v>169</v>
      </c>
    </row>
    <row r="49" spans="1:15" x14ac:dyDescent="0.35">
      <c r="A49" s="1" t="s">
        <v>125</v>
      </c>
      <c r="B49" s="1" t="s">
        <v>126</v>
      </c>
      <c r="C49" s="1">
        <v>2002</v>
      </c>
      <c r="D49" s="1">
        <v>2002</v>
      </c>
      <c r="E49" s="1" t="s">
        <v>85</v>
      </c>
      <c r="F49" s="1" t="s">
        <v>103</v>
      </c>
      <c r="G49" s="1" t="s">
        <v>87</v>
      </c>
      <c r="H49" s="1" t="s">
        <v>159</v>
      </c>
      <c r="I49" s="1" t="s">
        <v>170</v>
      </c>
      <c r="J49" s="1" t="s">
        <v>85</v>
      </c>
      <c r="K49" s="1" t="s">
        <v>85</v>
      </c>
      <c r="L49" s="1" t="s">
        <v>85</v>
      </c>
      <c r="M49" s="1" t="s">
        <v>85</v>
      </c>
      <c r="N49" s="1">
        <v>223.87</v>
      </c>
      <c r="O49" s="1" t="s">
        <v>169</v>
      </c>
    </row>
    <row r="50" spans="1:15" x14ac:dyDescent="0.35">
      <c r="A50" s="1" t="s">
        <v>125</v>
      </c>
      <c r="B50" s="1" t="s">
        <v>126</v>
      </c>
      <c r="C50" s="1">
        <v>2003</v>
      </c>
      <c r="D50" s="1">
        <v>2003</v>
      </c>
      <c r="E50" s="1" t="s">
        <v>85</v>
      </c>
      <c r="F50" s="1" t="s">
        <v>103</v>
      </c>
      <c r="G50" s="1" t="s">
        <v>113</v>
      </c>
      <c r="H50" s="1" t="s">
        <v>109</v>
      </c>
      <c r="I50" s="1" t="s">
        <v>110</v>
      </c>
      <c r="J50" s="1">
        <f>5/8</f>
        <v>0.625</v>
      </c>
      <c r="K50" s="1" t="s">
        <v>171</v>
      </c>
      <c r="L50" s="1" t="s">
        <v>85</v>
      </c>
      <c r="M50" s="1" t="s">
        <v>85</v>
      </c>
      <c r="N50" s="1">
        <v>6.25</v>
      </c>
      <c r="O50" s="1" t="s">
        <v>164</v>
      </c>
    </row>
    <row r="51" spans="1:15" x14ac:dyDescent="0.35">
      <c r="A51" s="1" t="s">
        <v>125</v>
      </c>
      <c r="B51" s="1" t="s">
        <v>126</v>
      </c>
      <c r="C51" s="1">
        <v>2003</v>
      </c>
      <c r="D51" s="1">
        <v>2003</v>
      </c>
      <c r="E51" s="1" t="s">
        <v>85</v>
      </c>
      <c r="F51" s="1" t="s">
        <v>103</v>
      </c>
      <c r="G51" s="1" t="s">
        <v>113</v>
      </c>
      <c r="H51" s="1" t="s">
        <v>109</v>
      </c>
      <c r="I51" s="1" t="s">
        <v>110</v>
      </c>
      <c r="J51" s="1">
        <v>0.75</v>
      </c>
      <c r="K51" s="1" t="s">
        <v>171</v>
      </c>
      <c r="L51" s="1" t="s">
        <v>85</v>
      </c>
      <c r="M51" s="1" t="s">
        <v>85</v>
      </c>
      <c r="N51" s="1">
        <v>12.61</v>
      </c>
      <c r="O51" s="1" t="s">
        <v>164</v>
      </c>
    </row>
    <row r="52" spans="1:15" x14ac:dyDescent="0.35">
      <c r="A52" s="1" t="s">
        <v>125</v>
      </c>
      <c r="B52" s="1" t="s">
        <v>126</v>
      </c>
      <c r="C52" s="1">
        <v>2003</v>
      </c>
      <c r="D52" s="1">
        <v>2003</v>
      </c>
      <c r="E52" s="1" t="s">
        <v>85</v>
      </c>
      <c r="F52" s="1" t="s">
        <v>103</v>
      </c>
      <c r="G52" s="1" t="s">
        <v>113</v>
      </c>
      <c r="H52" s="1" t="s">
        <v>109</v>
      </c>
      <c r="I52" s="1" t="s">
        <v>110</v>
      </c>
      <c r="J52" s="1">
        <v>1</v>
      </c>
      <c r="K52" s="1" t="s">
        <v>171</v>
      </c>
      <c r="L52" s="1" t="s">
        <v>85</v>
      </c>
      <c r="M52" s="1" t="s">
        <v>85</v>
      </c>
      <c r="N52" s="1">
        <v>20.66</v>
      </c>
      <c r="O52" s="1" t="s">
        <v>164</v>
      </c>
    </row>
    <row r="53" spans="1:15" x14ac:dyDescent="0.35">
      <c r="A53" s="1" t="s">
        <v>125</v>
      </c>
      <c r="B53" s="1" t="s">
        <v>126</v>
      </c>
      <c r="C53" s="1">
        <v>2003</v>
      </c>
      <c r="D53" s="1">
        <v>2003</v>
      </c>
      <c r="E53" s="1" t="s">
        <v>85</v>
      </c>
      <c r="F53" s="1" t="s">
        <v>103</v>
      </c>
      <c r="G53" s="1" t="s">
        <v>113</v>
      </c>
      <c r="H53" s="1" t="s">
        <v>111</v>
      </c>
      <c r="I53" s="1" t="s">
        <v>166</v>
      </c>
      <c r="J53" s="1" t="s">
        <v>85</v>
      </c>
      <c r="K53" s="1" t="s">
        <v>165</v>
      </c>
      <c r="L53" s="1" t="s">
        <v>85</v>
      </c>
      <c r="M53" s="1" t="s">
        <v>85</v>
      </c>
      <c r="N53" s="1">
        <v>2.1171000000000002</v>
      </c>
      <c r="O53" s="1" t="s">
        <v>163</v>
      </c>
    </row>
    <row r="54" spans="1:15" x14ac:dyDescent="0.35">
      <c r="A54" s="1" t="s">
        <v>125</v>
      </c>
      <c r="B54" s="1" t="s">
        <v>126</v>
      </c>
      <c r="C54" s="1">
        <v>2003</v>
      </c>
      <c r="D54" s="1">
        <v>2003</v>
      </c>
      <c r="E54" s="1" t="s">
        <v>85</v>
      </c>
      <c r="F54" s="1" t="s">
        <v>103</v>
      </c>
      <c r="G54" s="1" t="s">
        <v>113</v>
      </c>
      <c r="H54" s="1" t="s">
        <v>111</v>
      </c>
      <c r="I54" s="1" t="s">
        <v>173</v>
      </c>
      <c r="J54" s="1" t="s">
        <v>85</v>
      </c>
      <c r="K54" s="1" t="s">
        <v>112</v>
      </c>
      <c r="L54" s="1" t="s">
        <v>85</v>
      </c>
      <c r="M54" s="1" t="s">
        <v>85</v>
      </c>
      <c r="N54" s="1">
        <v>2.8302</v>
      </c>
      <c r="O54" s="1" t="s">
        <v>172</v>
      </c>
    </row>
    <row r="55" spans="1:15" x14ac:dyDescent="0.35">
      <c r="A55" s="1" t="s">
        <v>125</v>
      </c>
      <c r="B55" s="1" t="s">
        <v>126</v>
      </c>
      <c r="C55" s="1">
        <v>2003</v>
      </c>
      <c r="D55" s="1">
        <v>2003</v>
      </c>
      <c r="E55" s="1" t="s">
        <v>85</v>
      </c>
      <c r="F55" s="1" t="s">
        <v>103</v>
      </c>
      <c r="G55" s="1" t="s">
        <v>113</v>
      </c>
      <c r="H55" s="1" t="s">
        <v>109</v>
      </c>
      <c r="I55" s="1" t="s">
        <v>110</v>
      </c>
      <c r="J55" s="1">
        <v>1.25</v>
      </c>
      <c r="K55" s="1" t="s">
        <v>171</v>
      </c>
      <c r="L55" s="1" t="s">
        <v>85</v>
      </c>
      <c r="M55" s="1" t="s">
        <v>85</v>
      </c>
      <c r="N55" s="1">
        <v>32.36</v>
      </c>
      <c r="O55" s="1" t="s">
        <v>164</v>
      </c>
    </row>
    <row r="56" spans="1:15" x14ac:dyDescent="0.35">
      <c r="A56" s="1" t="s">
        <v>125</v>
      </c>
      <c r="B56" s="1" t="s">
        <v>126</v>
      </c>
      <c r="C56" s="1">
        <v>2003</v>
      </c>
      <c r="D56" s="1">
        <v>2003</v>
      </c>
      <c r="E56" s="1" t="s">
        <v>85</v>
      </c>
      <c r="F56" s="1" t="s">
        <v>103</v>
      </c>
      <c r="G56" s="1" t="s">
        <v>113</v>
      </c>
      <c r="H56" s="1" t="s">
        <v>109</v>
      </c>
      <c r="I56" s="1" t="s">
        <v>110</v>
      </c>
      <c r="J56" s="1">
        <v>1.5</v>
      </c>
      <c r="K56" s="1" t="s">
        <v>171</v>
      </c>
      <c r="L56" s="1" t="s">
        <v>85</v>
      </c>
      <c r="M56" s="1" t="s">
        <v>85</v>
      </c>
      <c r="N56" s="1">
        <v>37</v>
      </c>
      <c r="O56" s="1" t="s">
        <v>164</v>
      </c>
    </row>
    <row r="57" spans="1:15" x14ac:dyDescent="0.35">
      <c r="A57" s="1" t="s">
        <v>125</v>
      </c>
      <c r="B57" s="1" t="s">
        <v>126</v>
      </c>
      <c r="C57" s="1">
        <v>2003</v>
      </c>
      <c r="D57" s="1">
        <v>2003</v>
      </c>
      <c r="E57" s="1" t="s">
        <v>85</v>
      </c>
      <c r="F57" s="1" t="s">
        <v>103</v>
      </c>
      <c r="G57" s="1" t="s">
        <v>113</v>
      </c>
      <c r="H57" s="1" t="s">
        <v>109</v>
      </c>
      <c r="I57" s="1" t="s">
        <v>110</v>
      </c>
      <c r="J57" s="1">
        <v>2</v>
      </c>
      <c r="K57" s="1" t="s">
        <v>171</v>
      </c>
      <c r="L57" s="1" t="s">
        <v>85</v>
      </c>
      <c r="M57" s="1" t="s">
        <v>85</v>
      </c>
      <c r="N57" s="1">
        <v>60.98</v>
      </c>
      <c r="O57" s="1" t="s">
        <v>164</v>
      </c>
    </row>
    <row r="58" spans="1:15" x14ac:dyDescent="0.35">
      <c r="A58" s="1" t="s">
        <v>125</v>
      </c>
      <c r="B58" s="1" t="s">
        <v>126</v>
      </c>
      <c r="C58" s="1">
        <v>2003</v>
      </c>
      <c r="D58" s="1">
        <v>2003</v>
      </c>
      <c r="E58" s="1" t="s">
        <v>85</v>
      </c>
      <c r="F58" s="1" t="s">
        <v>103</v>
      </c>
      <c r="G58" s="1" t="s">
        <v>113</v>
      </c>
      <c r="H58" s="1" t="s">
        <v>109</v>
      </c>
      <c r="I58" s="1" t="s">
        <v>110</v>
      </c>
      <c r="J58" s="1">
        <v>3</v>
      </c>
      <c r="K58" s="1" t="s">
        <v>171</v>
      </c>
      <c r="L58" s="1" t="s">
        <v>85</v>
      </c>
      <c r="M58" s="1" t="s">
        <v>85</v>
      </c>
      <c r="N58" s="1">
        <v>118.86</v>
      </c>
      <c r="O58" s="1" t="s">
        <v>164</v>
      </c>
    </row>
    <row r="59" spans="1:15" x14ac:dyDescent="0.35">
      <c r="A59" s="1" t="s">
        <v>125</v>
      </c>
      <c r="B59" s="1" t="s">
        <v>126</v>
      </c>
      <c r="C59" s="1">
        <v>2003</v>
      </c>
      <c r="D59" s="1">
        <v>2003</v>
      </c>
      <c r="E59" s="1" t="s">
        <v>85</v>
      </c>
      <c r="F59" s="1" t="s">
        <v>103</v>
      </c>
      <c r="G59" s="1" t="s">
        <v>113</v>
      </c>
      <c r="H59" s="1" t="s">
        <v>109</v>
      </c>
      <c r="I59" s="1" t="s">
        <v>110</v>
      </c>
      <c r="J59" s="1">
        <v>4</v>
      </c>
      <c r="K59" s="1" t="s">
        <v>171</v>
      </c>
      <c r="L59" s="1" t="s">
        <v>85</v>
      </c>
      <c r="M59" s="1" t="s">
        <v>85</v>
      </c>
      <c r="N59" s="1">
        <v>147.47999999999999</v>
      </c>
      <c r="O59" s="1" t="s">
        <v>164</v>
      </c>
    </row>
    <row r="60" spans="1:15" x14ac:dyDescent="0.35">
      <c r="A60" s="1" t="s">
        <v>125</v>
      </c>
      <c r="B60" s="1" t="s">
        <v>126</v>
      </c>
      <c r="C60" s="1">
        <v>2003</v>
      </c>
      <c r="D60" s="1">
        <v>2003</v>
      </c>
      <c r="E60" s="1" t="s">
        <v>85</v>
      </c>
      <c r="F60" s="1" t="s">
        <v>103</v>
      </c>
      <c r="G60" s="1" t="s">
        <v>113</v>
      </c>
      <c r="H60" s="1" t="s">
        <v>109</v>
      </c>
      <c r="I60" s="1" t="s">
        <v>110</v>
      </c>
      <c r="J60" s="1">
        <v>6</v>
      </c>
      <c r="K60" s="1" t="s">
        <v>171</v>
      </c>
      <c r="L60" s="1" t="s">
        <v>85</v>
      </c>
      <c r="M60" s="1" t="s">
        <v>85</v>
      </c>
      <c r="N60" s="1">
        <v>291.22000000000003</v>
      </c>
      <c r="O60" s="1" t="s">
        <v>164</v>
      </c>
    </row>
    <row r="61" spans="1:15" x14ac:dyDescent="0.35">
      <c r="A61" s="1" t="s">
        <v>125</v>
      </c>
      <c r="B61" s="1" t="s">
        <v>126</v>
      </c>
      <c r="C61" s="1">
        <v>2003</v>
      </c>
      <c r="D61" s="1">
        <v>2003</v>
      </c>
      <c r="E61" s="1" t="s">
        <v>85</v>
      </c>
      <c r="F61" s="1" t="s">
        <v>103</v>
      </c>
      <c r="G61" s="1" t="s">
        <v>113</v>
      </c>
      <c r="H61" s="1" t="s">
        <v>109</v>
      </c>
      <c r="I61" s="1" t="s">
        <v>110</v>
      </c>
      <c r="J61" s="1">
        <v>8</v>
      </c>
      <c r="K61" s="1" t="s">
        <v>171</v>
      </c>
      <c r="L61" s="1" t="s">
        <v>85</v>
      </c>
      <c r="M61" s="1" t="s">
        <v>85</v>
      </c>
      <c r="N61" s="1">
        <v>724.97</v>
      </c>
      <c r="O61" s="1" t="s">
        <v>164</v>
      </c>
    </row>
    <row r="62" spans="1:15" x14ac:dyDescent="0.35">
      <c r="A62" s="1" t="s">
        <v>125</v>
      </c>
      <c r="B62" s="1" t="s">
        <v>126</v>
      </c>
      <c r="C62" s="1">
        <v>2003</v>
      </c>
      <c r="D62" s="1">
        <v>2003</v>
      </c>
      <c r="E62" s="1" t="s">
        <v>85</v>
      </c>
      <c r="F62" s="1" t="s">
        <v>103</v>
      </c>
      <c r="G62" s="1" t="s">
        <v>113</v>
      </c>
      <c r="H62" s="1" t="s">
        <v>109</v>
      </c>
      <c r="I62" s="1" t="s">
        <v>110</v>
      </c>
      <c r="J62" s="1">
        <v>10</v>
      </c>
      <c r="K62" s="1" t="s">
        <v>171</v>
      </c>
      <c r="L62" s="1" t="s">
        <v>85</v>
      </c>
      <c r="M62" s="1" t="s">
        <v>85</v>
      </c>
      <c r="N62" s="1">
        <v>1129.46</v>
      </c>
      <c r="O62" s="1" t="s">
        <v>164</v>
      </c>
    </row>
    <row r="63" spans="1:15" x14ac:dyDescent="0.35">
      <c r="A63" s="1" t="s">
        <v>125</v>
      </c>
      <c r="B63" s="1" t="s">
        <v>126</v>
      </c>
      <c r="C63" s="1">
        <v>2003</v>
      </c>
      <c r="D63" s="1">
        <v>2003</v>
      </c>
      <c r="E63" s="1" t="s">
        <v>85</v>
      </c>
      <c r="F63" s="1" t="s">
        <v>103</v>
      </c>
      <c r="G63" s="1" t="s">
        <v>113</v>
      </c>
      <c r="H63" s="1" t="s">
        <v>111</v>
      </c>
      <c r="I63" s="1" t="s">
        <v>166</v>
      </c>
      <c r="J63" s="1">
        <v>100000</v>
      </c>
      <c r="K63" s="1" t="s">
        <v>165</v>
      </c>
      <c r="L63" s="1" t="s">
        <v>85</v>
      </c>
      <c r="M63" s="1" t="s">
        <v>85</v>
      </c>
      <c r="N63" s="1">
        <v>2.0295999999999998</v>
      </c>
      <c r="O63" s="1" t="s">
        <v>167</v>
      </c>
    </row>
    <row r="64" spans="1:15" x14ac:dyDescent="0.35">
      <c r="A64" s="1" t="s">
        <v>125</v>
      </c>
      <c r="B64" s="1" t="s">
        <v>126</v>
      </c>
      <c r="C64" s="1">
        <v>2003</v>
      </c>
      <c r="D64" s="1">
        <v>2003</v>
      </c>
      <c r="E64" s="1" t="s">
        <v>85</v>
      </c>
      <c r="F64" s="1" t="s">
        <v>103</v>
      </c>
      <c r="G64" s="1" t="s">
        <v>113</v>
      </c>
      <c r="H64" s="1" t="s">
        <v>111</v>
      </c>
      <c r="I64" s="1" t="s">
        <v>166</v>
      </c>
      <c r="J64" s="1">
        <v>500000</v>
      </c>
      <c r="K64" s="1" t="s">
        <v>165</v>
      </c>
      <c r="L64" s="1" t="s">
        <v>85</v>
      </c>
      <c r="M64" s="1" t="s">
        <v>85</v>
      </c>
      <c r="N64" s="1">
        <v>1.6595</v>
      </c>
      <c r="O64" s="1" t="s">
        <v>167</v>
      </c>
    </row>
    <row r="65" spans="1:15" x14ac:dyDescent="0.35">
      <c r="A65" s="1" t="s">
        <v>125</v>
      </c>
      <c r="B65" s="1" t="s">
        <v>126</v>
      </c>
      <c r="C65" s="1">
        <v>2003</v>
      </c>
      <c r="D65" s="1">
        <v>2003</v>
      </c>
      <c r="E65" s="1" t="s">
        <v>85</v>
      </c>
      <c r="F65" s="1" t="s">
        <v>103</v>
      </c>
      <c r="G65" s="1" t="s">
        <v>113</v>
      </c>
      <c r="H65" s="1" t="s">
        <v>111</v>
      </c>
      <c r="I65" s="1" t="s">
        <v>166</v>
      </c>
      <c r="J65" s="1" t="s">
        <v>168</v>
      </c>
      <c r="K65" s="1" t="s">
        <v>165</v>
      </c>
      <c r="L65" s="1" t="s">
        <v>85</v>
      </c>
      <c r="M65" s="1" t="s">
        <v>85</v>
      </c>
      <c r="N65" s="1">
        <v>1.3626</v>
      </c>
      <c r="O65" s="1" t="s">
        <v>167</v>
      </c>
    </row>
    <row r="66" spans="1:15" x14ac:dyDescent="0.35">
      <c r="A66" s="1" t="s">
        <v>125</v>
      </c>
      <c r="B66" s="1" t="s">
        <v>126</v>
      </c>
      <c r="C66" s="1">
        <v>2003</v>
      </c>
      <c r="D66" s="1">
        <v>2003</v>
      </c>
      <c r="E66" s="1" t="s">
        <v>85</v>
      </c>
      <c r="F66" s="1" t="s">
        <v>103</v>
      </c>
      <c r="G66" s="1" t="s">
        <v>113</v>
      </c>
      <c r="H66" s="1" t="s">
        <v>111</v>
      </c>
      <c r="I66" s="1" t="s">
        <v>173</v>
      </c>
      <c r="J66" s="1">
        <v>750000</v>
      </c>
      <c r="K66" s="1" t="s">
        <v>112</v>
      </c>
      <c r="L66" s="1" t="s">
        <v>85</v>
      </c>
      <c r="M66" s="1" t="s">
        <v>85</v>
      </c>
      <c r="N66" s="1">
        <v>2.7132000000000001</v>
      </c>
      <c r="O66" s="1" t="s">
        <v>172</v>
      </c>
    </row>
    <row r="67" spans="1:15" x14ac:dyDescent="0.35">
      <c r="A67" s="1" t="s">
        <v>125</v>
      </c>
      <c r="B67" s="1" t="s">
        <v>126</v>
      </c>
      <c r="C67" s="1">
        <v>2003</v>
      </c>
      <c r="D67" s="1">
        <v>2003</v>
      </c>
      <c r="E67" s="1" t="s">
        <v>85</v>
      </c>
      <c r="F67" s="1" t="s">
        <v>103</v>
      </c>
      <c r="G67" s="1" t="s">
        <v>113</v>
      </c>
      <c r="H67" s="1" t="s">
        <v>111</v>
      </c>
      <c r="I67" s="1" t="s">
        <v>173</v>
      </c>
      <c r="J67" s="1">
        <v>3750000</v>
      </c>
      <c r="K67" s="1" t="s">
        <v>112</v>
      </c>
      <c r="L67" s="1" t="s">
        <v>85</v>
      </c>
      <c r="M67" s="1" t="s">
        <v>85</v>
      </c>
      <c r="N67" s="1">
        <v>2.2183999999999999</v>
      </c>
      <c r="O67" s="1" t="s">
        <v>172</v>
      </c>
    </row>
    <row r="68" spans="1:15" x14ac:dyDescent="0.35">
      <c r="A68" s="1" t="s">
        <v>125</v>
      </c>
      <c r="B68" s="1" t="s">
        <v>126</v>
      </c>
      <c r="C68" s="1">
        <v>2003</v>
      </c>
      <c r="D68" s="1">
        <v>2003</v>
      </c>
      <c r="E68" s="1" t="s">
        <v>85</v>
      </c>
      <c r="F68" s="1" t="s">
        <v>103</v>
      </c>
      <c r="G68" s="1" t="s">
        <v>113</v>
      </c>
      <c r="H68" s="1" t="s">
        <v>111</v>
      </c>
      <c r="I68" s="1" t="s">
        <v>173</v>
      </c>
      <c r="J68" s="1" t="s">
        <v>174</v>
      </c>
      <c r="K68" s="1" t="s">
        <v>112</v>
      </c>
      <c r="L68" s="1" t="s">
        <v>85</v>
      </c>
      <c r="M68" s="1" t="s">
        <v>85</v>
      </c>
      <c r="N68" s="1">
        <v>1.8214999999999999</v>
      </c>
      <c r="O68" s="1" t="s">
        <v>172</v>
      </c>
    </row>
    <row r="69" spans="1:15" x14ac:dyDescent="0.35">
      <c r="A69" s="1" t="s">
        <v>125</v>
      </c>
      <c r="B69" s="1" t="s">
        <v>126</v>
      </c>
      <c r="C69" s="1">
        <v>2003</v>
      </c>
      <c r="D69" s="1">
        <v>2003</v>
      </c>
      <c r="E69" s="1" t="s">
        <v>85</v>
      </c>
      <c r="F69" s="1" t="s">
        <v>103</v>
      </c>
      <c r="G69" s="1" t="s">
        <v>113</v>
      </c>
      <c r="H69" s="1" t="s">
        <v>159</v>
      </c>
      <c r="I69" s="1" t="s">
        <v>110</v>
      </c>
      <c r="J69" s="1">
        <v>2</v>
      </c>
      <c r="K69" s="1" t="s">
        <v>171</v>
      </c>
      <c r="L69" s="1" t="s">
        <v>85</v>
      </c>
      <c r="M69" s="1" t="s">
        <v>85</v>
      </c>
      <c r="N69" s="1">
        <v>19.72</v>
      </c>
      <c r="O69" s="1" t="s">
        <v>169</v>
      </c>
    </row>
    <row r="70" spans="1:15" x14ac:dyDescent="0.35">
      <c r="A70" s="1" t="s">
        <v>125</v>
      </c>
      <c r="B70" s="1" t="s">
        <v>126</v>
      </c>
      <c r="C70" s="1">
        <v>2003</v>
      </c>
      <c r="D70" s="1">
        <v>2003</v>
      </c>
      <c r="E70" s="1" t="s">
        <v>85</v>
      </c>
      <c r="F70" s="1" t="s">
        <v>103</v>
      </c>
      <c r="G70" s="1" t="s">
        <v>113</v>
      </c>
      <c r="H70" s="1" t="s">
        <v>159</v>
      </c>
      <c r="I70" s="1" t="s">
        <v>110</v>
      </c>
      <c r="J70" s="1">
        <v>3</v>
      </c>
      <c r="K70" s="1" t="s">
        <v>171</v>
      </c>
      <c r="L70" s="1" t="s">
        <v>85</v>
      </c>
      <c r="M70" s="1" t="s">
        <v>85</v>
      </c>
      <c r="N70" s="1">
        <v>29.26</v>
      </c>
      <c r="O70" s="1" t="s">
        <v>169</v>
      </c>
    </row>
    <row r="71" spans="1:15" x14ac:dyDescent="0.35">
      <c r="A71" s="1" t="s">
        <v>125</v>
      </c>
      <c r="B71" s="1" t="s">
        <v>126</v>
      </c>
      <c r="C71" s="1">
        <v>2003</v>
      </c>
      <c r="D71" s="1">
        <v>2003</v>
      </c>
      <c r="E71" s="1" t="s">
        <v>85</v>
      </c>
      <c r="F71" s="1" t="s">
        <v>103</v>
      </c>
      <c r="G71" s="1" t="s">
        <v>113</v>
      </c>
      <c r="H71" s="1" t="s">
        <v>159</v>
      </c>
      <c r="I71" s="1" t="s">
        <v>110</v>
      </c>
      <c r="J71" s="1">
        <v>4</v>
      </c>
      <c r="K71" s="1" t="s">
        <v>171</v>
      </c>
      <c r="L71" s="1" t="s">
        <v>85</v>
      </c>
      <c r="M71" s="1" t="s">
        <v>85</v>
      </c>
      <c r="N71" s="1">
        <v>48.97</v>
      </c>
      <c r="O71" s="1" t="s">
        <v>169</v>
      </c>
    </row>
    <row r="72" spans="1:15" x14ac:dyDescent="0.35">
      <c r="A72" s="1" t="s">
        <v>125</v>
      </c>
      <c r="B72" s="1" t="s">
        <v>126</v>
      </c>
      <c r="C72" s="1">
        <v>2003</v>
      </c>
      <c r="D72" s="1">
        <v>2003</v>
      </c>
      <c r="E72" s="1" t="s">
        <v>85</v>
      </c>
      <c r="F72" s="1" t="s">
        <v>103</v>
      </c>
      <c r="G72" s="1" t="s">
        <v>113</v>
      </c>
      <c r="H72" s="1" t="s">
        <v>159</v>
      </c>
      <c r="I72" s="1" t="s">
        <v>110</v>
      </c>
      <c r="J72" s="1">
        <v>6</v>
      </c>
      <c r="K72" s="1" t="s">
        <v>171</v>
      </c>
      <c r="L72" s="1" t="s">
        <v>85</v>
      </c>
      <c r="M72" s="1" t="s">
        <v>85</v>
      </c>
      <c r="N72" s="1">
        <v>89.68</v>
      </c>
      <c r="O72" s="1" t="s">
        <v>169</v>
      </c>
    </row>
    <row r="73" spans="1:15" x14ac:dyDescent="0.35">
      <c r="A73" s="1" t="s">
        <v>125</v>
      </c>
      <c r="B73" s="1" t="s">
        <v>126</v>
      </c>
      <c r="C73" s="1">
        <v>2003</v>
      </c>
      <c r="D73" s="1">
        <v>2003</v>
      </c>
      <c r="E73" s="1" t="s">
        <v>85</v>
      </c>
      <c r="F73" s="1" t="s">
        <v>103</v>
      </c>
      <c r="G73" s="1" t="s">
        <v>113</v>
      </c>
      <c r="H73" s="1" t="s">
        <v>159</v>
      </c>
      <c r="I73" s="1" t="s">
        <v>110</v>
      </c>
      <c r="J73" s="1">
        <v>8</v>
      </c>
      <c r="K73" s="1" t="s">
        <v>171</v>
      </c>
      <c r="L73" s="1" t="s">
        <v>85</v>
      </c>
      <c r="M73" s="1" t="s">
        <v>85</v>
      </c>
      <c r="N73" s="1">
        <v>132.29</v>
      </c>
      <c r="O73" s="1" t="s">
        <v>169</v>
      </c>
    </row>
    <row r="74" spans="1:15" x14ac:dyDescent="0.35">
      <c r="A74" s="1" t="s">
        <v>125</v>
      </c>
      <c r="B74" s="1" t="s">
        <v>126</v>
      </c>
      <c r="C74" s="1">
        <v>2003</v>
      </c>
      <c r="D74" s="1">
        <v>2003</v>
      </c>
      <c r="E74" s="1" t="s">
        <v>85</v>
      </c>
      <c r="F74" s="1" t="s">
        <v>103</v>
      </c>
      <c r="G74" s="1" t="s">
        <v>113</v>
      </c>
      <c r="H74" s="1" t="s">
        <v>159</v>
      </c>
      <c r="I74" s="1" t="s">
        <v>110</v>
      </c>
      <c r="J74" s="1">
        <v>10</v>
      </c>
      <c r="K74" s="1" t="s">
        <v>171</v>
      </c>
      <c r="L74" s="1" t="s">
        <v>85</v>
      </c>
      <c r="M74" s="1" t="s">
        <v>85</v>
      </c>
      <c r="N74" s="1">
        <v>174.26</v>
      </c>
      <c r="O74" s="1" t="s">
        <v>169</v>
      </c>
    </row>
    <row r="75" spans="1:15" x14ac:dyDescent="0.35">
      <c r="A75" s="1" t="s">
        <v>125</v>
      </c>
      <c r="B75" s="1" t="s">
        <v>126</v>
      </c>
      <c r="C75" s="1">
        <v>2003</v>
      </c>
      <c r="D75" s="1">
        <v>2003</v>
      </c>
      <c r="E75" s="1" t="s">
        <v>85</v>
      </c>
      <c r="F75" s="1" t="s">
        <v>103</v>
      </c>
      <c r="G75" s="1" t="s">
        <v>87</v>
      </c>
      <c r="H75" s="1" t="s">
        <v>159</v>
      </c>
      <c r="I75" s="1" t="s">
        <v>170</v>
      </c>
      <c r="J75" s="1" t="s">
        <v>85</v>
      </c>
      <c r="K75" s="1" t="s">
        <v>85</v>
      </c>
      <c r="L75" s="1" t="s">
        <v>85</v>
      </c>
      <c r="M75" s="1" t="s">
        <v>85</v>
      </c>
      <c r="N75" s="1">
        <v>223.87</v>
      </c>
      <c r="O75" s="1" t="s">
        <v>169</v>
      </c>
    </row>
    <row r="76" spans="1:15" x14ac:dyDescent="0.35">
      <c r="A76" s="1" t="s">
        <v>125</v>
      </c>
      <c r="B76" s="1" t="s">
        <v>126</v>
      </c>
      <c r="C76" s="1">
        <v>2007</v>
      </c>
      <c r="D76" s="1">
        <v>2007</v>
      </c>
      <c r="E76" s="1">
        <v>2007</v>
      </c>
      <c r="F76" s="1" t="s">
        <v>103</v>
      </c>
      <c r="G76" s="1" t="s">
        <v>113</v>
      </c>
      <c r="H76" s="1" t="s">
        <v>109</v>
      </c>
      <c r="I76" s="1" t="s">
        <v>110</v>
      </c>
      <c r="J76" s="1">
        <f>5/8</f>
        <v>0.625</v>
      </c>
      <c r="K76" s="1" t="s">
        <v>171</v>
      </c>
      <c r="L76" s="1" t="s">
        <v>85</v>
      </c>
      <c r="M76" s="1" t="s">
        <v>85</v>
      </c>
      <c r="N76" s="1">
        <v>6.63</v>
      </c>
      <c r="O76" s="1" t="s">
        <v>164</v>
      </c>
    </row>
    <row r="77" spans="1:15" x14ac:dyDescent="0.35">
      <c r="A77" s="1" t="s">
        <v>125</v>
      </c>
      <c r="B77" s="1" t="s">
        <v>126</v>
      </c>
      <c r="C77" s="1">
        <v>2007</v>
      </c>
      <c r="D77" s="1">
        <v>2007</v>
      </c>
      <c r="E77" s="1">
        <v>2007</v>
      </c>
      <c r="F77" s="1" t="s">
        <v>103</v>
      </c>
      <c r="G77" s="1" t="s">
        <v>113</v>
      </c>
      <c r="H77" s="1" t="s">
        <v>109</v>
      </c>
      <c r="I77" s="1" t="s">
        <v>110</v>
      </c>
      <c r="J77" s="1">
        <v>0.75</v>
      </c>
      <c r="K77" s="1" t="s">
        <v>171</v>
      </c>
      <c r="L77" s="1" t="s">
        <v>85</v>
      </c>
      <c r="M77" s="1" t="s">
        <v>85</v>
      </c>
      <c r="N77" s="1">
        <v>6.63</v>
      </c>
      <c r="O77" s="1" t="s">
        <v>164</v>
      </c>
    </row>
    <row r="78" spans="1:15" x14ac:dyDescent="0.35">
      <c r="A78" s="1" t="s">
        <v>125</v>
      </c>
      <c r="B78" s="1" t="s">
        <v>126</v>
      </c>
      <c r="C78" s="1">
        <v>2007</v>
      </c>
      <c r="D78" s="1">
        <v>2007</v>
      </c>
      <c r="E78" s="1">
        <v>2007</v>
      </c>
      <c r="F78" s="1" t="s">
        <v>103</v>
      </c>
      <c r="G78" s="1" t="s">
        <v>113</v>
      </c>
      <c r="H78" s="1" t="s">
        <v>109</v>
      </c>
      <c r="I78" s="1" t="s">
        <v>110</v>
      </c>
      <c r="J78" s="1">
        <v>1</v>
      </c>
      <c r="K78" s="1" t="s">
        <v>171</v>
      </c>
      <c r="L78" s="1" t="s">
        <v>85</v>
      </c>
      <c r="M78" s="1" t="s">
        <v>85</v>
      </c>
      <c r="N78" s="1">
        <v>21.9</v>
      </c>
      <c r="O78" s="1" t="s">
        <v>164</v>
      </c>
    </row>
    <row r="79" spans="1:15" x14ac:dyDescent="0.35">
      <c r="A79" s="1" t="s">
        <v>125</v>
      </c>
      <c r="B79" s="1" t="s">
        <v>126</v>
      </c>
      <c r="C79" s="1">
        <v>2007</v>
      </c>
      <c r="D79" s="1">
        <v>2007</v>
      </c>
      <c r="E79" s="1">
        <v>2007</v>
      </c>
      <c r="F79" s="1" t="s">
        <v>103</v>
      </c>
      <c r="G79" s="1" t="s">
        <v>113</v>
      </c>
      <c r="H79" s="1" t="s">
        <v>109</v>
      </c>
      <c r="I79" s="1" t="s">
        <v>110</v>
      </c>
      <c r="J79" s="1">
        <v>1.5</v>
      </c>
      <c r="K79" s="1" t="s">
        <v>171</v>
      </c>
      <c r="L79" s="1" t="s">
        <v>85</v>
      </c>
      <c r="M79" s="1" t="s">
        <v>85</v>
      </c>
      <c r="N79" s="1">
        <v>39.229999999999997</v>
      </c>
      <c r="O79" s="1" t="s">
        <v>164</v>
      </c>
    </row>
    <row r="80" spans="1:15" x14ac:dyDescent="0.35">
      <c r="A80" s="1" t="s">
        <v>125</v>
      </c>
      <c r="B80" s="1" t="s">
        <v>126</v>
      </c>
      <c r="C80" s="1">
        <v>2007</v>
      </c>
      <c r="D80" s="1">
        <v>2007</v>
      </c>
      <c r="E80" s="1">
        <v>2007</v>
      </c>
      <c r="F80" s="1" t="s">
        <v>103</v>
      </c>
      <c r="G80" s="1" t="s">
        <v>113</v>
      </c>
      <c r="H80" s="1" t="s">
        <v>109</v>
      </c>
      <c r="I80" s="1" t="s">
        <v>110</v>
      </c>
      <c r="J80" s="1">
        <v>2</v>
      </c>
      <c r="K80" s="1" t="s">
        <v>171</v>
      </c>
      <c r="L80" s="1" t="s">
        <v>85</v>
      </c>
      <c r="M80" s="1" t="s">
        <v>85</v>
      </c>
      <c r="N80" s="1">
        <v>64.64</v>
      </c>
      <c r="O80" s="1" t="s">
        <v>164</v>
      </c>
    </row>
    <row r="81" spans="1:15" x14ac:dyDescent="0.35">
      <c r="A81" s="1" t="s">
        <v>125</v>
      </c>
      <c r="B81" s="1" t="s">
        <v>126</v>
      </c>
      <c r="C81" s="1">
        <v>2007</v>
      </c>
      <c r="D81" s="1">
        <v>2007</v>
      </c>
      <c r="E81" s="1">
        <v>2007</v>
      </c>
      <c r="F81" s="1" t="s">
        <v>103</v>
      </c>
      <c r="G81" s="1" t="s">
        <v>113</v>
      </c>
      <c r="H81" s="1" t="s">
        <v>109</v>
      </c>
      <c r="I81" s="1" t="s">
        <v>110</v>
      </c>
      <c r="J81" s="1">
        <v>3</v>
      </c>
      <c r="K81" s="1" t="s">
        <v>171</v>
      </c>
      <c r="L81" s="1" t="s">
        <v>85</v>
      </c>
      <c r="M81" s="1" t="s">
        <v>85</v>
      </c>
      <c r="N81" s="1">
        <v>125.99</v>
      </c>
      <c r="O81" s="1" t="s">
        <v>164</v>
      </c>
    </row>
    <row r="82" spans="1:15" x14ac:dyDescent="0.35">
      <c r="A82" s="1" t="s">
        <v>125</v>
      </c>
      <c r="B82" s="1" t="s">
        <v>126</v>
      </c>
      <c r="C82" s="1">
        <v>2007</v>
      </c>
      <c r="D82" s="1">
        <v>2007</v>
      </c>
      <c r="E82" s="1">
        <v>2007</v>
      </c>
      <c r="F82" s="1" t="s">
        <v>103</v>
      </c>
      <c r="G82" s="1" t="s">
        <v>113</v>
      </c>
      <c r="H82" s="1" t="s">
        <v>109</v>
      </c>
      <c r="I82" s="1" t="s">
        <v>110</v>
      </c>
      <c r="J82" s="1">
        <v>4</v>
      </c>
      <c r="K82" s="1" t="s">
        <v>171</v>
      </c>
      <c r="L82" s="1" t="s">
        <v>85</v>
      </c>
      <c r="M82" s="1" t="s">
        <v>85</v>
      </c>
      <c r="N82" s="1">
        <v>156.33000000000001</v>
      </c>
      <c r="O82" s="1" t="s">
        <v>164</v>
      </c>
    </row>
    <row r="83" spans="1:15" x14ac:dyDescent="0.35">
      <c r="A83" s="1" t="s">
        <v>125</v>
      </c>
      <c r="B83" s="1" t="s">
        <v>126</v>
      </c>
      <c r="C83" s="1">
        <v>2007</v>
      </c>
      <c r="D83" s="1">
        <v>2007</v>
      </c>
      <c r="E83" s="1">
        <v>2007</v>
      </c>
      <c r="F83" s="1" t="s">
        <v>103</v>
      </c>
      <c r="G83" s="1" t="s">
        <v>113</v>
      </c>
      <c r="H83" s="1" t="s">
        <v>109</v>
      </c>
      <c r="I83" s="1" t="s">
        <v>110</v>
      </c>
      <c r="J83" s="1">
        <v>6</v>
      </c>
      <c r="K83" s="1" t="s">
        <v>171</v>
      </c>
      <c r="L83" s="1" t="s">
        <v>85</v>
      </c>
      <c r="M83" s="1" t="s">
        <v>85</v>
      </c>
      <c r="N83" s="1">
        <v>308.69</v>
      </c>
      <c r="O83" s="1" t="s">
        <v>164</v>
      </c>
    </row>
    <row r="84" spans="1:15" x14ac:dyDescent="0.35">
      <c r="A84" s="1" t="s">
        <v>125</v>
      </c>
      <c r="B84" s="1" t="s">
        <v>126</v>
      </c>
      <c r="C84" s="1">
        <v>2007</v>
      </c>
      <c r="D84" s="1">
        <v>2007</v>
      </c>
      <c r="E84" s="1">
        <v>2007</v>
      </c>
      <c r="F84" s="1" t="s">
        <v>103</v>
      </c>
      <c r="G84" s="1" t="s">
        <v>113</v>
      </c>
      <c r="H84" s="1" t="s">
        <v>109</v>
      </c>
      <c r="I84" s="1" t="s">
        <v>110</v>
      </c>
      <c r="J84" s="1">
        <v>8</v>
      </c>
      <c r="K84" s="1" t="s">
        <v>171</v>
      </c>
      <c r="L84" s="1" t="s">
        <v>85</v>
      </c>
      <c r="M84" s="1" t="s">
        <v>85</v>
      </c>
      <c r="N84" s="1">
        <v>768.47</v>
      </c>
      <c r="O84" s="1" t="s">
        <v>164</v>
      </c>
    </row>
    <row r="85" spans="1:15" x14ac:dyDescent="0.35">
      <c r="A85" s="1" t="s">
        <v>125</v>
      </c>
      <c r="B85" s="1" t="s">
        <v>126</v>
      </c>
      <c r="C85" s="1">
        <v>2007</v>
      </c>
      <c r="D85" s="1">
        <v>2007</v>
      </c>
      <c r="E85" s="1">
        <v>2007</v>
      </c>
      <c r="F85" s="1" t="s">
        <v>103</v>
      </c>
      <c r="G85" s="1" t="s">
        <v>113</v>
      </c>
      <c r="H85" s="1" t="s">
        <v>222</v>
      </c>
      <c r="I85" s="1" t="s">
        <v>110</v>
      </c>
      <c r="J85" s="1">
        <f>5/8</f>
        <v>0.625</v>
      </c>
      <c r="K85" s="1" t="s">
        <v>171</v>
      </c>
      <c r="L85" s="1" t="s">
        <v>85</v>
      </c>
      <c r="M85" s="1" t="s">
        <v>85</v>
      </c>
      <c r="N85" s="1">
        <v>2.5</v>
      </c>
      <c r="O85" s="1" t="s">
        <v>164</v>
      </c>
    </row>
    <row r="86" spans="1:15" x14ac:dyDescent="0.35">
      <c r="A86" s="1" t="s">
        <v>125</v>
      </c>
      <c r="B86" s="1" t="s">
        <v>126</v>
      </c>
      <c r="C86" s="1">
        <v>2007</v>
      </c>
      <c r="D86" s="1">
        <v>2007</v>
      </c>
      <c r="E86" s="1">
        <v>2007</v>
      </c>
      <c r="F86" s="1" t="s">
        <v>103</v>
      </c>
      <c r="G86" s="1" t="s">
        <v>113</v>
      </c>
      <c r="H86" s="1" t="s">
        <v>222</v>
      </c>
      <c r="I86" s="1" t="s">
        <v>110</v>
      </c>
      <c r="J86" s="1">
        <v>0.75</v>
      </c>
      <c r="K86" s="1" t="s">
        <v>171</v>
      </c>
      <c r="L86" s="1" t="s">
        <v>85</v>
      </c>
      <c r="M86" s="1" t="s">
        <v>85</v>
      </c>
      <c r="N86" s="1">
        <v>2.5</v>
      </c>
      <c r="O86" s="1" t="s">
        <v>164</v>
      </c>
    </row>
    <row r="87" spans="1:15" x14ac:dyDescent="0.35">
      <c r="A87" s="1" t="s">
        <v>125</v>
      </c>
      <c r="B87" s="1" t="s">
        <v>126</v>
      </c>
      <c r="C87" s="1">
        <v>2007</v>
      </c>
      <c r="D87" s="1">
        <v>2007</v>
      </c>
      <c r="E87" s="1">
        <v>2007</v>
      </c>
      <c r="F87" s="1" t="s">
        <v>103</v>
      </c>
      <c r="G87" s="1" t="s">
        <v>113</v>
      </c>
      <c r="H87" s="1" t="s">
        <v>222</v>
      </c>
      <c r="I87" s="1" t="s">
        <v>110</v>
      </c>
      <c r="J87" s="1">
        <v>1</v>
      </c>
      <c r="K87" s="1" t="s">
        <v>171</v>
      </c>
      <c r="L87" s="1" t="s">
        <v>85</v>
      </c>
      <c r="M87" s="1" t="s">
        <v>85</v>
      </c>
      <c r="N87" s="1">
        <v>9.86</v>
      </c>
      <c r="O87" s="1" t="s">
        <v>164</v>
      </c>
    </row>
    <row r="88" spans="1:15" x14ac:dyDescent="0.35">
      <c r="A88" s="1" t="s">
        <v>125</v>
      </c>
      <c r="B88" s="1" t="s">
        <v>126</v>
      </c>
      <c r="C88" s="1">
        <v>2007</v>
      </c>
      <c r="D88" s="1">
        <v>2007</v>
      </c>
      <c r="E88" s="1">
        <v>2007</v>
      </c>
      <c r="F88" s="1" t="s">
        <v>103</v>
      </c>
      <c r="G88" s="1" t="s">
        <v>113</v>
      </c>
      <c r="H88" s="1" t="s">
        <v>222</v>
      </c>
      <c r="I88" s="1" t="s">
        <v>110</v>
      </c>
      <c r="J88" s="1">
        <v>1.5</v>
      </c>
      <c r="K88" s="1" t="s">
        <v>171</v>
      </c>
      <c r="L88" s="1" t="s">
        <v>85</v>
      </c>
      <c r="M88" s="1" t="s">
        <v>85</v>
      </c>
      <c r="N88" s="1">
        <v>17.649999999999999</v>
      </c>
      <c r="O88" s="1" t="s">
        <v>164</v>
      </c>
    </row>
    <row r="89" spans="1:15" x14ac:dyDescent="0.35">
      <c r="A89" s="1" t="s">
        <v>125</v>
      </c>
      <c r="B89" s="1" t="s">
        <v>126</v>
      </c>
      <c r="C89" s="1">
        <v>2007</v>
      </c>
      <c r="D89" s="1">
        <v>2007</v>
      </c>
      <c r="E89" s="1">
        <v>2007</v>
      </c>
      <c r="F89" s="1" t="s">
        <v>103</v>
      </c>
      <c r="G89" s="1" t="s">
        <v>113</v>
      </c>
      <c r="H89" s="1" t="s">
        <v>222</v>
      </c>
      <c r="I89" s="1" t="s">
        <v>110</v>
      </c>
      <c r="J89" s="1">
        <v>2</v>
      </c>
      <c r="K89" s="1" t="s">
        <v>171</v>
      </c>
      <c r="L89" s="1" t="s">
        <v>85</v>
      </c>
      <c r="M89" s="1" t="s">
        <v>85</v>
      </c>
      <c r="N89" s="1">
        <v>29.09</v>
      </c>
      <c r="O89" s="1" t="s">
        <v>164</v>
      </c>
    </row>
    <row r="90" spans="1:15" x14ac:dyDescent="0.35">
      <c r="A90" s="1" t="s">
        <v>125</v>
      </c>
      <c r="B90" s="1" t="s">
        <v>126</v>
      </c>
      <c r="C90" s="1">
        <v>2007</v>
      </c>
      <c r="D90" s="1">
        <v>2007</v>
      </c>
      <c r="E90" s="1">
        <v>2007</v>
      </c>
      <c r="F90" s="1" t="s">
        <v>103</v>
      </c>
      <c r="G90" s="1" t="s">
        <v>113</v>
      </c>
      <c r="H90" s="1" t="s">
        <v>222</v>
      </c>
      <c r="I90" s="1" t="s">
        <v>110</v>
      </c>
      <c r="J90" s="1">
        <v>3</v>
      </c>
      <c r="K90" s="1" t="s">
        <v>171</v>
      </c>
      <c r="L90" s="1" t="s">
        <v>85</v>
      </c>
      <c r="M90" s="1" t="s">
        <v>85</v>
      </c>
      <c r="N90" s="1">
        <v>56.7</v>
      </c>
      <c r="O90" s="1" t="s">
        <v>164</v>
      </c>
    </row>
    <row r="91" spans="1:15" x14ac:dyDescent="0.35">
      <c r="A91" s="1" t="s">
        <v>125</v>
      </c>
      <c r="B91" s="1" t="s">
        <v>126</v>
      </c>
      <c r="C91" s="1">
        <v>2007</v>
      </c>
      <c r="D91" s="1">
        <v>2007</v>
      </c>
      <c r="E91" s="1">
        <v>2007</v>
      </c>
      <c r="F91" s="1" t="s">
        <v>103</v>
      </c>
      <c r="G91" s="1" t="s">
        <v>113</v>
      </c>
      <c r="H91" s="1" t="s">
        <v>222</v>
      </c>
      <c r="I91" s="1" t="s">
        <v>110</v>
      </c>
      <c r="J91" s="1">
        <v>4</v>
      </c>
      <c r="K91" s="1" t="s">
        <v>171</v>
      </c>
      <c r="L91" s="1" t="s">
        <v>85</v>
      </c>
      <c r="M91" s="1" t="s">
        <v>85</v>
      </c>
      <c r="N91" s="1">
        <v>70.349999999999994</v>
      </c>
      <c r="O91" s="1" t="s">
        <v>164</v>
      </c>
    </row>
    <row r="92" spans="1:15" x14ac:dyDescent="0.35">
      <c r="A92" s="1" t="s">
        <v>125</v>
      </c>
      <c r="B92" s="1" t="s">
        <v>126</v>
      </c>
      <c r="C92" s="1">
        <v>2007</v>
      </c>
      <c r="D92" s="1">
        <v>2007</v>
      </c>
      <c r="E92" s="1">
        <v>2007</v>
      </c>
      <c r="F92" s="1" t="s">
        <v>103</v>
      </c>
      <c r="G92" s="1" t="s">
        <v>113</v>
      </c>
      <c r="H92" s="1" t="s">
        <v>222</v>
      </c>
      <c r="I92" s="1" t="s">
        <v>110</v>
      </c>
      <c r="J92" s="1">
        <v>6</v>
      </c>
      <c r="K92" s="1" t="s">
        <v>171</v>
      </c>
      <c r="L92" s="1" t="s">
        <v>85</v>
      </c>
      <c r="M92" s="1" t="s">
        <v>85</v>
      </c>
      <c r="N92" s="1">
        <v>138.91</v>
      </c>
      <c r="O92" s="1" t="s">
        <v>164</v>
      </c>
    </row>
    <row r="93" spans="1:15" x14ac:dyDescent="0.35">
      <c r="A93" s="1" t="s">
        <v>125</v>
      </c>
      <c r="B93" s="1" t="s">
        <v>126</v>
      </c>
      <c r="C93" s="1">
        <v>2007</v>
      </c>
      <c r="D93" s="1">
        <v>2007</v>
      </c>
      <c r="E93" s="1">
        <v>2007</v>
      </c>
      <c r="F93" s="1" t="s">
        <v>103</v>
      </c>
      <c r="G93" s="1" t="s">
        <v>113</v>
      </c>
      <c r="H93" s="1" t="s">
        <v>222</v>
      </c>
      <c r="I93" s="1" t="s">
        <v>110</v>
      </c>
      <c r="J93" s="1">
        <v>8</v>
      </c>
      <c r="K93" s="1" t="s">
        <v>171</v>
      </c>
      <c r="L93" s="1" t="s">
        <v>85</v>
      </c>
      <c r="M93" s="1" t="s">
        <v>85</v>
      </c>
      <c r="N93" s="1">
        <v>345.81</v>
      </c>
      <c r="O93" s="1" t="s">
        <v>164</v>
      </c>
    </row>
    <row r="94" spans="1:15" x14ac:dyDescent="0.35">
      <c r="A94" s="1" t="s">
        <v>125</v>
      </c>
      <c r="B94" s="1" t="s">
        <v>126</v>
      </c>
      <c r="C94" s="1">
        <v>2007</v>
      </c>
      <c r="D94" s="1">
        <v>2007</v>
      </c>
      <c r="E94" s="1">
        <v>2007</v>
      </c>
      <c r="F94" s="1" t="s">
        <v>103</v>
      </c>
      <c r="G94" s="1" t="s">
        <v>113</v>
      </c>
      <c r="H94" s="1" t="s">
        <v>111</v>
      </c>
      <c r="I94" s="1" t="s">
        <v>173</v>
      </c>
      <c r="J94" s="1">
        <v>750000</v>
      </c>
      <c r="K94" s="1" t="s">
        <v>112</v>
      </c>
      <c r="L94" s="1" t="s">
        <v>85</v>
      </c>
      <c r="M94" s="1" t="s">
        <v>85</v>
      </c>
      <c r="N94" s="1">
        <v>4.3099999999999996</v>
      </c>
      <c r="O94" s="1" t="s">
        <v>172</v>
      </c>
    </row>
    <row r="95" spans="1:15" x14ac:dyDescent="0.35">
      <c r="A95" s="1" t="s">
        <v>125</v>
      </c>
      <c r="B95" s="1" t="s">
        <v>126</v>
      </c>
      <c r="C95" s="1">
        <v>2007</v>
      </c>
      <c r="D95" s="1">
        <v>2007</v>
      </c>
      <c r="E95" s="1">
        <v>2007</v>
      </c>
      <c r="F95" s="1" t="s">
        <v>103</v>
      </c>
      <c r="G95" s="1" t="s">
        <v>113</v>
      </c>
      <c r="H95" s="1" t="s">
        <v>111</v>
      </c>
      <c r="I95" s="1" t="s">
        <v>173</v>
      </c>
      <c r="J95" s="1">
        <v>3750000</v>
      </c>
      <c r="K95" s="1" t="s">
        <v>112</v>
      </c>
      <c r="L95" s="1" t="s">
        <v>85</v>
      </c>
      <c r="M95" s="1" t="s">
        <v>85</v>
      </c>
      <c r="N95" s="1">
        <v>3.77</v>
      </c>
      <c r="O95" s="1" t="s">
        <v>172</v>
      </c>
    </row>
    <row r="96" spans="1:15" x14ac:dyDescent="0.35">
      <c r="A96" s="1" t="s">
        <v>125</v>
      </c>
      <c r="B96" s="1" t="s">
        <v>126</v>
      </c>
      <c r="C96" s="1">
        <v>2007</v>
      </c>
      <c r="D96" s="1">
        <v>2007</v>
      </c>
      <c r="E96" s="1">
        <v>2007</v>
      </c>
      <c r="F96" s="1" t="s">
        <v>103</v>
      </c>
      <c r="G96" s="1" t="s">
        <v>113</v>
      </c>
      <c r="H96" s="1" t="s">
        <v>111</v>
      </c>
      <c r="I96" s="1" t="s">
        <v>173</v>
      </c>
      <c r="J96" s="1" t="s">
        <v>174</v>
      </c>
      <c r="K96" s="1" t="s">
        <v>112</v>
      </c>
      <c r="L96" s="1" t="s">
        <v>85</v>
      </c>
      <c r="M96" s="1" t="s">
        <v>85</v>
      </c>
      <c r="N96" s="1">
        <v>3.18</v>
      </c>
      <c r="O96" s="1" t="s">
        <v>172</v>
      </c>
    </row>
    <row r="97" spans="1:15" x14ac:dyDescent="0.35">
      <c r="A97" s="1" t="s">
        <v>125</v>
      </c>
      <c r="B97" s="1" t="s">
        <v>126</v>
      </c>
      <c r="C97" s="1">
        <v>2011</v>
      </c>
      <c r="D97" s="1">
        <v>2011</v>
      </c>
      <c r="E97" s="1">
        <v>2011</v>
      </c>
      <c r="F97" s="1" t="s">
        <v>103</v>
      </c>
      <c r="G97" s="1" t="s">
        <v>113</v>
      </c>
      <c r="H97" s="1" t="s">
        <v>109</v>
      </c>
      <c r="I97" s="1" t="s">
        <v>110</v>
      </c>
      <c r="J97" s="1">
        <f>5/8</f>
        <v>0.625</v>
      </c>
      <c r="K97" s="1" t="s">
        <v>171</v>
      </c>
      <c r="L97" s="1" t="s">
        <v>85</v>
      </c>
      <c r="M97" s="1" t="s">
        <v>85</v>
      </c>
      <c r="N97" s="1">
        <v>8.36</v>
      </c>
      <c r="O97" s="1" t="s">
        <v>164</v>
      </c>
    </row>
    <row r="98" spans="1:15" x14ac:dyDescent="0.35">
      <c r="A98" s="1" t="s">
        <v>125</v>
      </c>
      <c r="B98" s="1" t="s">
        <v>126</v>
      </c>
      <c r="C98" s="1">
        <v>2011</v>
      </c>
      <c r="D98" s="1">
        <v>2011</v>
      </c>
      <c r="E98" s="1">
        <v>2011</v>
      </c>
      <c r="F98" s="1" t="s">
        <v>103</v>
      </c>
      <c r="G98" s="1" t="s">
        <v>113</v>
      </c>
      <c r="H98" s="1" t="s">
        <v>109</v>
      </c>
      <c r="I98" s="1" t="s">
        <v>110</v>
      </c>
      <c r="J98" s="1">
        <v>0.75</v>
      </c>
      <c r="K98" s="1" t="s">
        <v>171</v>
      </c>
      <c r="L98" s="1" t="s">
        <v>85</v>
      </c>
      <c r="M98" s="1" t="s">
        <v>85</v>
      </c>
      <c r="N98" s="1">
        <v>16.36</v>
      </c>
      <c r="O98" s="1" t="s">
        <v>164</v>
      </c>
    </row>
    <row r="99" spans="1:15" x14ac:dyDescent="0.35">
      <c r="A99" s="1" t="s">
        <v>125</v>
      </c>
      <c r="B99" s="1" t="s">
        <v>126</v>
      </c>
      <c r="C99" s="1">
        <v>2011</v>
      </c>
      <c r="D99" s="1">
        <v>2011</v>
      </c>
      <c r="E99" s="1">
        <v>2011</v>
      </c>
      <c r="F99" s="1" t="s">
        <v>103</v>
      </c>
      <c r="G99" s="1" t="s">
        <v>113</v>
      </c>
      <c r="H99" s="1" t="s">
        <v>109</v>
      </c>
      <c r="I99" s="1" t="s">
        <v>110</v>
      </c>
      <c r="J99" s="1">
        <v>1</v>
      </c>
      <c r="K99" s="1" t="s">
        <v>171</v>
      </c>
      <c r="L99" s="1" t="s">
        <v>85</v>
      </c>
      <c r="M99" s="1" t="s">
        <v>85</v>
      </c>
      <c r="N99" s="1">
        <v>27.62</v>
      </c>
      <c r="O99" s="1" t="s">
        <v>164</v>
      </c>
    </row>
    <row r="100" spans="1:15" x14ac:dyDescent="0.35">
      <c r="A100" s="1" t="s">
        <v>125</v>
      </c>
      <c r="B100" s="1" t="s">
        <v>126</v>
      </c>
      <c r="C100" s="1">
        <v>2011</v>
      </c>
      <c r="D100" s="1">
        <v>2011</v>
      </c>
      <c r="E100" s="1">
        <v>2011</v>
      </c>
      <c r="F100" s="1" t="s">
        <v>103</v>
      </c>
      <c r="G100" s="1" t="s">
        <v>113</v>
      </c>
      <c r="H100" s="1" t="s">
        <v>109</v>
      </c>
      <c r="I100" s="1" t="s">
        <v>110</v>
      </c>
      <c r="J100" s="1">
        <v>1.25</v>
      </c>
      <c r="K100" s="1" t="s">
        <v>171</v>
      </c>
      <c r="L100" s="1" t="s">
        <v>85</v>
      </c>
      <c r="M100" s="1" t="s">
        <v>85</v>
      </c>
      <c r="N100" s="1">
        <v>43.24</v>
      </c>
      <c r="O100" s="1" t="s">
        <v>164</v>
      </c>
    </row>
    <row r="101" spans="1:15" x14ac:dyDescent="0.35">
      <c r="A101" s="1" t="s">
        <v>125</v>
      </c>
      <c r="B101" s="1" t="s">
        <v>126</v>
      </c>
      <c r="C101" s="1">
        <v>2011</v>
      </c>
      <c r="D101" s="1">
        <v>2011</v>
      </c>
      <c r="E101" s="1">
        <v>2011</v>
      </c>
      <c r="F101" s="1" t="s">
        <v>103</v>
      </c>
      <c r="G101" s="1" t="s">
        <v>113</v>
      </c>
      <c r="H101" s="1" t="s">
        <v>109</v>
      </c>
      <c r="I101" s="1" t="s">
        <v>110</v>
      </c>
      <c r="J101" s="1">
        <v>1.5</v>
      </c>
      <c r="K101" s="1" t="s">
        <v>171</v>
      </c>
      <c r="L101" s="1" t="s">
        <v>85</v>
      </c>
      <c r="M101" s="1" t="s">
        <v>85</v>
      </c>
      <c r="N101" s="1">
        <v>49.46</v>
      </c>
      <c r="O101" s="1" t="s">
        <v>164</v>
      </c>
    </row>
    <row r="102" spans="1:15" x14ac:dyDescent="0.35">
      <c r="A102" s="1" t="s">
        <v>125</v>
      </c>
      <c r="B102" s="1" t="s">
        <v>126</v>
      </c>
      <c r="C102" s="1">
        <v>2011</v>
      </c>
      <c r="D102" s="1">
        <v>2011</v>
      </c>
      <c r="E102" s="1">
        <v>2011</v>
      </c>
      <c r="F102" s="1" t="s">
        <v>103</v>
      </c>
      <c r="G102" s="1" t="s">
        <v>113</v>
      </c>
      <c r="H102" s="1" t="s">
        <v>109</v>
      </c>
      <c r="I102" s="1" t="s">
        <v>110</v>
      </c>
      <c r="J102" s="1">
        <v>2</v>
      </c>
      <c r="K102" s="1" t="s">
        <v>171</v>
      </c>
      <c r="L102" s="1" t="s">
        <v>85</v>
      </c>
      <c r="M102" s="1" t="s">
        <v>85</v>
      </c>
      <c r="N102" s="1">
        <v>81.489999999999995</v>
      </c>
      <c r="O102" s="1" t="s">
        <v>164</v>
      </c>
    </row>
    <row r="103" spans="1:15" x14ac:dyDescent="0.35">
      <c r="A103" s="1" t="s">
        <v>125</v>
      </c>
      <c r="B103" s="1" t="s">
        <v>126</v>
      </c>
      <c r="C103" s="1">
        <v>2011</v>
      </c>
      <c r="D103" s="1">
        <v>2011</v>
      </c>
      <c r="E103" s="1">
        <v>2011</v>
      </c>
      <c r="F103" s="1" t="s">
        <v>103</v>
      </c>
      <c r="G103" s="1" t="s">
        <v>113</v>
      </c>
      <c r="H103" s="1" t="s">
        <v>109</v>
      </c>
      <c r="I103" s="1" t="s">
        <v>110</v>
      </c>
      <c r="J103" s="1">
        <v>3</v>
      </c>
      <c r="K103" s="1" t="s">
        <v>171</v>
      </c>
      <c r="L103" s="1" t="s">
        <v>85</v>
      </c>
      <c r="M103" s="1" t="s">
        <v>85</v>
      </c>
      <c r="N103" s="1">
        <v>158.82</v>
      </c>
      <c r="O103" s="1" t="s">
        <v>164</v>
      </c>
    </row>
    <row r="104" spans="1:15" x14ac:dyDescent="0.35">
      <c r="A104" s="1" t="s">
        <v>125</v>
      </c>
      <c r="B104" s="1" t="s">
        <v>126</v>
      </c>
      <c r="C104" s="1">
        <v>2011</v>
      </c>
      <c r="D104" s="1">
        <v>2011</v>
      </c>
      <c r="E104" s="1">
        <v>2011</v>
      </c>
      <c r="F104" s="1" t="s">
        <v>103</v>
      </c>
      <c r="G104" s="1" t="s">
        <v>113</v>
      </c>
      <c r="H104" s="1" t="s">
        <v>109</v>
      </c>
      <c r="I104" s="1" t="s">
        <v>110</v>
      </c>
      <c r="J104" s="1">
        <v>4</v>
      </c>
      <c r="K104" s="1" t="s">
        <v>171</v>
      </c>
      <c r="L104" s="1" t="s">
        <v>85</v>
      </c>
      <c r="M104" s="1" t="s">
        <v>85</v>
      </c>
      <c r="N104" s="1">
        <v>197.08</v>
      </c>
      <c r="O104" s="1" t="s">
        <v>164</v>
      </c>
    </row>
    <row r="105" spans="1:15" x14ac:dyDescent="0.35">
      <c r="A105" s="1" t="s">
        <v>125</v>
      </c>
      <c r="B105" s="1" t="s">
        <v>126</v>
      </c>
      <c r="C105" s="1">
        <v>2011</v>
      </c>
      <c r="D105" s="1">
        <v>2011</v>
      </c>
      <c r="E105" s="1">
        <v>2011</v>
      </c>
      <c r="F105" s="1" t="s">
        <v>103</v>
      </c>
      <c r="G105" s="1" t="s">
        <v>113</v>
      </c>
      <c r="H105" s="1" t="s">
        <v>109</v>
      </c>
      <c r="I105" s="1" t="s">
        <v>110</v>
      </c>
      <c r="J105" s="1">
        <v>6</v>
      </c>
      <c r="K105" s="1" t="s">
        <v>171</v>
      </c>
      <c r="L105" s="1" t="s">
        <v>85</v>
      </c>
      <c r="M105" s="1" t="s">
        <v>85</v>
      </c>
      <c r="N105" s="1">
        <v>389.12</v>
      </c>
      <c r="O105" s="1" t="s">
        <v>164</v>
      </c>
    </row>
    <row r="106" spans="1:15" x14ac:dyDescent="0.35">
      <c r="A106" s="1" t="s">
        <v>125</v>
      </c>
      <c r="B106" s="1" t="s">
        <v>126</v>
      </c>
      <c r="C106" s="1">
        <v>2011</v>
      </c>
      <c r="D106" s="1">
        <v>2011</v>
      </c>
      <c r="E106" s="1">
        <v>2011</v>
      </c>
      <c r="F106" s="1" t="s">
        <v>103</v>
      </c>
      <c r="G106" s="1" t="s">
        <v>113</v>
      </c>
      <c r="H106" s="1" t="s">
        <v>109</v>
      </c>
      <c r="I106" s="1" t="s">
        <v>110</v>
      </c>
      <c r="J106" s="1">
        <v>8</v>
      </c>
      <c r="K106" s="1" t="s">
        <v>171</v>
      </c>
      <c r="L106" s="1" t="s">
        <v>85</v>
      </c>
      <c r="M106" s="1" t="s">
        <v>85</v>
      </c>
      <c r="N106" s="1">
        <v>968.72</v>
      </c>
      <c r="O106" s="1" t="s">
        <v>164</v>
      </c>
    </row>
    <row r="107" spans="1:15" x14ac:dyDescent="0.35">
      <c r="A107" s="1" t="s">
        <v>125</v>
      </c>
      <c r="B107" s="1" t="s">
        <v>126</v>
      </c>
      <c r="C107" s="1">
        <v>2011</v>
      </c>
      <c r="D107" s="1">
        <v>2011</v>
      </c>
      <c r="E107" s="1">
        <v>2011</v>
      </c>
      <c r="F107" s="1" t="s">
        <v>103</v>
      </c>
      <c r="G107" s="1" t="s">
        <v>113</v>
      </c>
      <c r="H107" s="1" t="s">
        <v>109</v>
      </c>
      <c r="I107" s="1" t="s">
        <v>110</v>
      </c>
      <c r="J107" s="1">
        <v>10</v>
      </c>
      <c r="K107" s="1" t="s">
        <v>171</v>
      </c>
      <c r="L107" s="1" t="s">
        <v>85</v>
      </c>
      <c r="M107" s="1" t="s">
        <v>85</v>
      </c>
      <c r="N107" s="1">
        <v>1509.19</v>
      </c>
      <c r="O107" s="1" t="s">
        <v>164</v>
      </c>
    </row>
    <row r="108" spans="1:15" x14ac:dyDescent="0.35">
      <c r="A108" s="1" t="s">
        <v>125</v>
      </c>
      <c r="B108" s="1" t="s">
        <v>126</v>
      </c>
      <c r="C108" s="1">
        <v>2011</v>
      </c>
      <c r="D108" s="1">
        <v>2011</v>
      </c>
      <c r="E108" s="1">
        <v>2011</v>
      </c>
      <c r="F108" s="1" t="s">
        <v>291</v>
      </c>
      <c r="G108" s="1" t="s">
        <v>113</v>
      </c>
      <c r="H108" s="1" t="s">
        <v>222</v>
      </c>
      <c r="I108" s="1" t="s">
        <v>110</v>
      </c>
      <c r="J108" s="1">
        <f>5/8</f>
        <v>0.625</v>
      </c>
      <c r="K108" s="1" t="s">
        <v>171</v>
      </c>
      <c r="L108" s="1" t="s">
        <v>85</v>
      </c>
      <c r="M108" s="1" t="s">
        <v>85</v>
      </c>
      <c r="N108" s="1">
        <v>6.14</v>
      </c>
      <c r="O108" s="1" t="s">
        <v>164</v>
      </c>
    </row>
    <row r="109" spans="1:15" x14ac:dyDescent="0.35">
      <c r="A109" s="1" t="s">
        <v>125</v>
      </c>
      <c r="B109" s="1" t="s">
        <v>126</v>
      </c>
      <c r="C109" s="1">
        <v>2011</v>
      </c>
      <c r="D109" s="1">
        <v>2011</v>
      </c>
      <c r="E109" s="1">
        <v>2011</v>
      </c>
      <c r="F109" s="1" t="s">
        <v>291</v>
      </c>
      <c r="G109" s="1" t="s">
        <v>113</v>
      </c>
      <c r="H109" s="1" t="s">
        <v>222</v>
      </c>
      <c r="I109" s="1" t="s">
        <v>110</v>
      </c>
      <c r="J109" s="1">
        <v>0.75</v>
      </c>
      <c r="K109" s="1" t="s">
        <v>171</v>
      </c>
      <c r="L109" s="1" t="s">
        <v>85</v>
      </c>
      <c r="M109" s="1" t="s">
        <v>85</v>
      </c>
      <c r="N109" s="1">
        <v>6.14</v>
      </c>
      <c r="O109" s="1" t="s">
        <v>164</v>
      </c>
    </row>
    <row r="110" spans="1:15" x14ac:dyDescent="0.35">
      <c r="A110" s="1" t="s">
        <v>125</v>
      </c>
      <c r="B110" s="1" t="s">
        <v>126</v>
      </c>
      <c r="C110" s="1">
        <v>2011</v>
      </c>
      <c r="D110" s="1">
        <v>2011</v>
      </c>
      <c r="E110" s="1">
        <v>2011</v>
      </c>
      <c r="F110" s="1" t="s">
        <v>291</v>
      </c>
      <c r="G110" s="1" t="s">
        <v>113</v>
      </c>
      <c r="H110" s="1" t="s">
        <v>222</v>
      </c>
      <c r="I110" s="1" t="s">
        <v>110</v>
      </c>
      <c r="J110" s="1">
        <v>1</v>
      </c>
      <c r="K110" s="1" t="s">
        <v>171</v>
      </c>
      <c r="L110" s="1" t="s">
        <v>85</v>
      </c>
      <c r="M110" s="1" t="s">
        <v>85</v>
      </c>
      <c r="N110" s="1">
        <v>24.14</v>
      </c>
      <c r="O110" s="1" t="s">
        <v>164</v>
      </c>
    </row>
    <row r="111" spans="1:15" x14ac:dyDescent="0.35">
      <c r="A111" s="1" t="s">
        <v>125</v>
      </c>
      <c r="B111" s="1" t="s">
        <v>126</v>
      </c>
      <c r="C111" s="1">
        <v>2011</v>
      </c>
      <c r="D111" s="1">
        <v>2011</v>
      </c>
      <c r="E111" s="1">
        <v>2011</v>
      </c>
      <c r="F111" s="1" t="s">
        <v>291</v>
      </c>
      <c r="G111" s="1" t="s">
        <v>113</v>
      </c>
      <c r="H111" s="1" t="s">
        <v>222</v>
      </c>
      <c r="I111" s="1" t="s">
        <v>110</v>
      </c>
      <c r="J111" s="1">
        <v>1.25</v>
      </c>
      <c r="K111" s="1" t="s">
        <v>171</v>
      </c>
      <c r="L111" s="1" t="s">
        <v>85</v>
      </c>
      <c r="M111" s="1" t="s">
        <v>85</v>
      </c>
      <c r="N111" s="1">
        <v>37.79</v>
      </c>
      <c r="O111" s="1" t="s">
        <v>164</v>
      </c>
    </row>
    <row r="112" spans="1:15" x14ac:dyDescent="0.35">
      <c r="A112" s="1" t="s">
        <v>125</v>
      </c>
      <c r="B112" s="1" t="s">
        <v>126</v>
      </c>
      <c r="C112" s="1">
        <v>2011</v>
      </c>
      <c r="D112" s="1">
        <v>2011</v>
      </c>
      <c r="E112" s="1">
        <v>2011</v>
      </c>
      <c r="F112" s="1" t="s">
        <v>291</v>
      </c>
      <c r="G112" s="1" t="s">
        <v>113</v>
      </c>
      <c r="H112" s="1" t="s">
        <v>222</v>
      </c>
      <c r="I112" s="1" t="s">
        <v>110</v>
      </c>
      <c r="J112" s="1">
        <v>1.5</v>
      </c>
      <c r="K112" s="1" t="s">
        <v>171</v>
      </c>
      <c r="L112" s="1" t="s">
        <v>85</v>
      </c>
      <c r="M112" s="1" t="s">
        <v>85</v>
      </c>
      <c r="N112" s="1">
        <v>43.21</v>
      </c>
      <c r="O112" s="1" t="s">
        <v>164</v>
      </c>
    </row>
    <row r="113" spans="1:15" x14ac:dyDescent="0.35">
      <c r="A113" s="1" t="s">
        <v>125</v>
      </c>
      <c r="B113" s="1" t="s">
        <v>126</v>
      </c>
      <c r="C113" s="1">
        <v>2011</v>
      </c>
      <c r="D113" s="1">
        <v>2011</v>
      </c>
      <c r="E113" s="1">
        <v>2011</v>
      </c>
      <c r="F113" s="1" t="s">
        <v>291</v>
      </c>
      <c r="G113" s="1" t="s">
        <v>113</v>
      </c>
      <c r="H113" s="1" t="s">
        <v>222</v>
      </c>
      <c r="I113" s="1" t="s">
        <v>110</v>
      </c>
      <c r="J113" s="1">
        <v>2</v>
      </c>
      <c r="K113" s="1" t="s">
        <v>171</v>
      </c>
      <c r="L113" s="1" t="s">
        <v>85</v>
      </c>
      <c r="M113" s="1" t="s">
        <v>85</v>
      </c>
      <c r="N113" s="1">
        <v>71.2</v>
      </c>
      <c r="O113" s="1" t="s">
        <v>164</v>
      </c>
    </row>
    <row r="114" spans="1:15" x14ac:dyDescent="0.35">
      <c r="A114" s="1" t="s">
        <v>125</v>
      </c>
      <c r="B114" s="1" t="s">
        <v>126</v>
      </c>
      <c r="C114" s="1">
        <v>2011</v>
      </c>
      <c r="D114" s="1">
        <v>2011</v>
      </c>
      <c r="E114" s="1">
        <v>2011</v>
      </c>
      <c r="F114" s="1" t="s">
        <v>291</v>
      </c>
      <c r="G114" s="1" t="s">
        <v>113</v>
      </c>
      <c r="H114" s="1" t="s">
        <v>222</v>
      </c>
      <c r="I114" s="1" t="s">
        <v>110</v>
      </c>
      <c r="J114" s="1">
        <v>3</v>
      </c>
      <c r="K114" s="1" t="s">
        <v>171</v>
      </c>
      <c r="L114" s="1" t="s">
        <v>85</v>
      </c>
      <c r="M114" s="1" t="s">
        <v>85</v>
      </c>
      <c r="N114" s="1">
        <v>138.78</v>
      </c>
      <c r="O114" s="1" t="s">
        <v>164</v>
      </c>
    </row>
    <row r="115" spans="1:15" x14ac:dyDescent="0.35">
      <c r="A115" s="1" t="s">
        <v>125</v>
      </c>
      <c r="B115" s="1" t="s">
        <v>126</v>
      </c>
      <c r="C115" s="1">
        <v>2011</v>
      </c>
      <c r="D115" s="1">
        <v>2011</v>
      </c>
      <c r="E115" s="1">
        <v>2011</v>
      </c>
      <c r="F115" s="1" t="s">
        <v>291</v>
      </c>
      <c r="G115" s="1" t="s">
        <v>113</v>
      </c>
      <c r="H115" s="1" t="s">
        <v>222</v>
      </c>
      <c r="I115" s="1" t="s">
        <v>110</v>
      </c>
      <c r="J115" s="1">
        <v>4</v>
      </c>
      <c r="K115" s="1" t="s">
        <v>171</v>
      </c>
      <c r="L115" s="1" t="s">
        <v>85</v>
      </c>
      <c r="M115" s="1" t="s">
        <v>85</v>
      </c>
      <c r="N115" s="1">
        <v>172.19</v>
      </c>
      <c r="O115" s="1" t="s">
        <v>164</v>
      </c>
    </row>
    <row r="116" spans="1:15" x14ac:dyDescent="0.35">
      <c r="A116" s="1" t="s">
        <v>125</v>
      </c>
      <c r="B116" s="1" t="s">
        <v>126</v>
      </c>
      <c r="C116" s="1">
        <v>2011</v>
      </c>
      <c r="D116" s="1">
        <v>2011</v>
      </c>
      <c r="E116" s="1">
        <v>2011</v>
      </c>
      <c r="F116" s="1" t="s">
        <v>291</v>
      </c>
      <c r="G116" s="1" t="s">
        <v>113</v>
      </c>
      <c r="H116" s="1" t="s">
        <v>222</v>
      </c>
      <c r="I116" s="1" t="s">
        <v>110</v>
      </c>
      <c r="J116" s="1">
        <v>6</v>
      </c>
      <c r="K116" s="1" t="s">
        <v>171</v>
      </c>
      <c r="L116" s="1" t="s">
        <v>85</v>
      </c>
      <c r="M116" s="1" t="s">
        <v>85</v>
      </c>
      <c r="N116" s="1">
        <v>340.01</v>
      </c>
      <c r="O116" s="1" t="s">
        <v>164</v>
      </c>
    </row>
    <row r="117" spans="1:15" x14ac:dyDescent="0.35">
      <c r="A117" s="1" t="s">
        <v>125</v>
      </c>
      <c r="B117" s="1" t="s">
        <v>126</v>
      </c>
      <c r="C117" s="1">
        <v>2011</v>
      </c>
      <c r="D117" s="1">
        <v>2011</v>
      </c>
      <c r="E117" s="1">
        <v>2011</v>
      </c>
      <c r="F117" s="1" t="s">
        <v>291</v>
      </c>
      <c r="G117" s="1" t="s">
        <v>113</v>
      </c>
      <c r="H117" s="1" t="s">
        <v>222</v>
      </c>
      <c r="I117" s="1" t="s">
        <v>110</v>
      </c>
      <c r="J117" s="1">
        <v>8</v>
      </c>
      <c r="K117" s="1" t="s">
        <v>171</v>
      </c>
      <c r="L117" s="1" t="s">
        <v>85</v>
      </c>
      <c r="M117" s="1" t="s">
        <v>85</v>
      </c>
      <c r="N117" s="1">
        <v>846.44</v>
      </c>
      <c r="O117" s="1" t="s">
        <v>164</v>
      </c>
    </row>
    <row r="118" spans="1:15" x14ac:dyDescent="0.35">
      <c r="A118" s="1" t="s">
        <v>125</v>
      </c>
      <c r="B118" s="1" t="s">
        <v>126</v>
      </c>
      <c r="C118" s="1">
        <v>2011</v>
      </c>
      <c r="D118" s="1">
        <v>2011</v>
      </c>
      <c r="E118" s="1">
        <v>2011</v>
      </c>
      <c r="F118" s="1" t="s">
        <v>291</v>
      </c>
      <c r="G118" s="1" t="s">
        <v>113</v>
      </c>
      <c r="H118" s="1" t="s">
        <v>109</v>
      </c>
      <c r="I118" s="1" t="s">
        <v>110</v>
      </c>
      <c r="J118" s="1">
        <v>10</v>
      </c>
      <c r="K118" s="1" t="s">
        <v>171</v>
      </c>
      <c r="L118" s="1" t="s">
        <v>85</v>
      </c>
      <c r="M118" s="1" t="s">
        <v>85</v>
      </c>
      <c r="N118" s="1">
        <v>1318.7</v>
      </c>
      <c r="O118" s="1" t="s">
        <v>164</v>
      </c>
    </row>
    <row r="119" spans="1:15" x14ac:dyDescent="0.35">
      <c r="A119" s="1" t="s">
        <v>125</v>
      </c>
      <c r="B119" s="1" t="s">
        <v>126</v>
      </c>
      <c r="C119" s="1">
        <v>2011</v>
      </c>
      <c r="D119" s="1">
        <v>2011</v>
      </c>
      <c r="E119" s="1">
        <v>2011</v>
      </c>
      <c r="F119" s="1" t="s">
        <v>292</v>
      </c>
      <c r="G119" s="1" t="s">
        <v>113</v>
      </c>
      <c r="H119" s="1" t="s">
        <v>109</v>
      </c>
      <c r="I119" s="1" t="s">
        <v>110</v>
      </c>
      <c r="J119" s="1">
        <f>5/8</f>
        <v>0.625</v>
      </c>
      <c r="K119" s="1" t="s">
        <v>171</v>
      </c>
      <c r="L119" s="1" t="s">
        <v>85</v>
      </c>
      <c r="M119" s="1" t="s">
        <v>85</v>
      </c>
      <c r="N119" s="1">
        <v>13.5</v>
      </c>
      <c r="O119" s="1" t="s">
        <v>164</v>
      </c>
    </row>
    <row r="120" spans="1:15" x14ac:dyDescent="0.35">
      <c r="A120" s="1" t="s">
        <v>125</v>
      </c>
      <c r="B120" s="1" t="s">
        <v>126</v>
      </c>
      <c r="C120" s="1">
        <v>2011</v>
      </c>
      <c r="D120" s="1">
        <v>2011</v>
      </c>
      <c r="E120" s="1">
        <v>2011</v>
      </c>
      <c r="F120" s="1" t="s">
        <v>292</v>
      </c>
      <c r="G120" s="1" t="s">
        <v>113</v>
      </c>
      <c r="H120" s="1" t="s">
        <v>109</v>
      </c>
      <c r="I120" s="1" t="s">
        <v>110</v>
      </c>
      <c r="J120" s="1">
        <v>0.75</v>
      </c>
      <c r="K120" s="1" t="s">
        <v>171</v>
      </c>
      <c r="L120" s="1" t="s">
        <v>85</v>
      </c>
      <c r="M120" s="1" t="s">
        <v>85</v>
      </c>
      <c r="N120" s="1">
        <v>26.44</v>
      </c>
      <c r="O120" s="1" t="s">
        <v>164</v>
      </c>
    </row>
    <row r="121" spans="1:15" x14ac:dyDescent="0.35">
      <c r="A121" s="1" t="s">
        <v>125</v>
      </c>
      <c r="B121" s="1" t="s">
        <v>126</v>
      </c>
      <c r="C121" s="1">
        <v>2011</v>
      </c>
      <c r="D121" s="1">
        <v>2011</v>
      </c>
      <c r="E121" s="1">
        <v>2011</v>
      </c>
      <c r="F121" s="1" t="s">
        <v>292</v>
      </c>
      <c r="G121" s="1" t="s">
        <v>113</v>
      </c>
      <c r="H121" s="1" t="s">
        <v>109</v>
      </c>
      <c r="I121" s="1" t="s">
        <v>110</v>
      </c>
      <c r="J121" s="1">
        <v>1</v>
      </c>
      <c r="K121" s="1" t="s">
        <v>171</v>
      </c>
      <c r="L121" s="1" t="s">
        <v>85</v>
      </c>
      <c r="M121" s="1" t="s">
        <v>85</v>
      </c>
      <c r="N121" s="1">
        <v>44.63</v>
      </c>
      <c r="O121" s="1" t="s">
        <v>164</v>
      </c>
    </row>
    <row r="122" spans="1:15" x14ac:dyDescent="0.35">
      <c r="A122" s="1" t="s">
        <v>125</v>
      </c>
      <c r="B122" s="1" t="s">
        <v>126</v>
      </c>
      <c r="C122" s="1">
        <v>2011</v>
      </c>
      <c r="D122" s="1">
        <v>2011</v>
      </c>
      <c r="E122" s="1">
        <v>2011</v>
      </c>
      <c r="F122" s="1" t="s">
        <v>292</v>
      </c>
      <c r="G122" s="1" t="s">
        <v>113</v>
      </c>
      <c r="H122" s="1" t="s">
        <v>109</v>
      </c>
      <c r="I122" s="1" t="s">
        <v>110</v>
      </c>
      <c r="J122" s="1">
        <v>1.25</v>
      </c>
      <c r="K122" s="1" t="s">
        <v>171</v>
      </c>
      <c r="L122" s="1" t="s">
        <v>85</v>
      </c>
      <c r="M122" s="1" t="s">
        <v>85</v>
      </c>
      <c r="N122" s="1">
        <v>69.88</v>
      </c>
      <c r="O122" s="1" t="s">
        <v>164</v>
      </c>
    </row>
    <row r="123" spans="1:15" x14ac:dyDescent="0.35">
      <c r="A123" s="1" t="s">
        <v>125</v>
      </c>
      <c r="B123" s="1" t="s">
        <v>126</v>
      </c>
      <c r="C123" s="1">
        <v>2011</v>
      </c>
      <c r="D123" s="1">
        <v>2011</v>
      </c>
      <c r="E123" s="1">
        <v>2011</v>
      </c>
      <c r="F123" s="1" t="s">
        <v>292</v>
      </c>
      <c r="G123" s="1" t="s">
        <v>113</v>
      </c>
      <c r="H123" s="1" t="s">
        <v>109</v>
      </c>
      <c r="I123" s="1" t="s">
        <v>110</v>
      </c>
      <c r="J123" s="1">
        <v>1.5</v>
      </c>
      <c r="K123" s="1" t="s">
        <v>171</v>
      </c>
      <c r="L123" s="1" t="s">
        <v>85</v>
      </c>
      <c r="M123" s="1" t="s">
        <v>85</v>
      </c>
      <c r="N123" s="1">
        <v>79.930000000000007</v>
      </c>
      <c r="O123" s="1" t="s">
        <v>164</v>
      </c>
    </row>
    <row r="124" spans="1:15" x14ac:dyDescent="0.35">
      <c r="A124" s="1" t="s">
        <v>125</v>
      </c>
      <c r="B124" s="1" t="s">
        <v>126</v>
      </c>
      <c r="C124" s="1">
        <v>2011</v>
      </c>
      <c r="D124" s="1">
        <v>2011</v>
      </c>
      <c r="E124" s="1">
        <v>2011</v>
      </c>
      <c r="F124" s="1" t="s">
        <v>292</v>
      </c>
      <c r="G124" s="1" t="s">
        <v>113</v>
      </c>
      <c r="H124" s="1" t="s">
        <v>109</v>
      </c>
      <c r="I124" s="1" t="s">
        <v>110</v>
      </c>
      <c r="J124" s="1">
        <v>2</v>
      </c>
      <c r="K124" s="1" t="s">
        <v>171</v>
      </c>
      <c r="L124" s="1" t="s">
        <v>85</v>
      </c>
      <c r="M124" s="1" t="s">
        <v>85</v>
      </c>
      <c r="N124" s="1">
        <v>131.69</v>
      </c>
      <c r="O124" s="1" t="s">
        <v>164</v>
      </c>
    </row>
    <row r="125" spans="1:15" x14ac:dyDescent="0.35">
      <c r="A125" s="1" t="s">
        <v>125</v>
      </c>
      <c r="B125" s="1" t="s">
        <v>126</v>
      </c>
      <c r="C125" s="1">
        <v>2011</v>
      </c>
      <c r="D125" s="1">
        <v>2011</v>
      </c>
      <c r="E125" s="1">
        <v>2011</v>
      </c>
      <c r="F125" s="1" t="s">
        <v>292</v>
      </c>
      <c r="G125" s="1" t="s">
        <v>113</v>
      </c>
      <c r="H125" s="1" t="s">
        <v>109</v>
      </c>
      <c r="I125" s="1" t="s">
        <v>110</v>
      </c>
      <c r="J125" s="1">
        <v>3</v>
      </c>
      <c r="K125" s="1" t="s">
        <v>171</v>
      </c>
      <c r="L125" s="1" t="s">
        <v>85</v>
      </c>
      <c r="M125" s="1" t="s">
        <v>85</v>
      </c>
      <c r="N125" s="1">
        <v>256.64999999999998</v>
      </c>
      <c r="O125" s="1" t="s">
        <v>164</v>
      </c>
    </row>
    <row r="126" spans="1:15" x14ac:dyDescent="0.35">
      <c r="A126" s="1" t="s">
        <v>125</v>
      </c>
      <c r="B126" s="1" t="s">
        <v>126</v>
      </c>
      <c r="C126" s="1">
        <v>2011</v>
      </c>
      <c r="D126" s="1">
        <v>2011</v>
      </c>
      <c r="E126" s="1">
        <v>2011</v>
      </c>
      <c r="F126" s="1" t="s">
        <v>292</v>
      </c>
      <c r="G126" s="1" t="s">
        <v>113</v>
      </c>
      <c r="H126" s="1" t="s">
        <v>109</v>
      </c>
      <c r="I126" s="1" t="s">
        <v>110</v>
      </c>
      <c r="J126" s="1">
        <v>4</v>
      </c>
      <c r="K126" s="1" t="s">
        <v>171</v>
      </c>
      <c r="L126" s="1" t="s">
        <v>85</v>
      </c>
      <c r="M126" s="1" t="s">
        <v>85</v>
      </c>
      <c r="N126" s="1">
        <v>318.47000000000003</v>
      </c>
      <c r="O126" s="1" t="s">
        <v>164</v>
      </c>
    </row>
    <row r="127" spans="1:15" x14ac:dyDescent="0.35">
      <c r="A127" s="1" t="s">
        <v>125</v>
      </c>
      <c r="B127" s="1" t="s">
        <v>126</v>
      </c>
      <c r="C127" s="1">
        <v>2011</v>
      </c>
      <c r="D127" s="1">
        <v>2011</v>
      </c>
      <c r="E127" s="1">
        <v>2011</v>
      </c>
      <c r="F127" s="1" t="s">
        <v>292</v>
      </c>
      <c r="G127" s="1" t="s">
        <v>113</v>
      </c>
      <c r="H127" s="1" t="s">
        <v>109</v>
      </c>
      <c r="I127" s="1" t="s">
        <v>110</v>
      </c>
      <c r="J127" s="1">
        <v>6</v>
      </c>
      <c r="K127" s="1" t="s">
        <v>171</v>
      </c>
      <c r="L127" s="1" t="s">
        <v>85</v>
      </c>
      <c r="M127" s="1" t="s">
        <v>85</v>
      </c>
      <c r="N127" s="1">
        <v>628.82000000000005</v>
      </c>
      <c r="O127" s="1" t="s">
        <v>164</v>
      </c>
    </row>
    <row r="128" spans="1:15" x14ac:dyDescent="0.35">
      <c r="A128" s="1" t="s">
        <v>125</v>
      </c>
      <c r="B128" s="1" t="s">
        <v>126</v>
      </c>
      <c r="C128" s="1">
        <v>2011</v>
      </c>
      <c r="D128" s="1">
        <v>2011</v>
      </c>
      <c r="E128" s="1">
        <v>2011</v>
      </c>
      <c r="F128" s="1" t="s">
        <v>292</v>
      </c>
      <c r="G128" s="1" t="s">
        <v>113</v>
      </c>
      <c r="H128" s="1" t="s">
        <v>109</v>
      </c>
      <c r="I128" s="1" t="s">
        <v>110</v>
      </c>
      <c r="J128" s="1">
        <v>8</v>
      </c>
      <c r="K128" s="1" t="s">
        <v>171</v>
      </c>
      <c r="L128" s="1" t="s">
        <v>85</v>
      </c>
      <c r="M128" s="1" t="s">
        <v>85</v>
      </c>
      <c r="N128" s="1">
        <v>1565.45</v>
      </c>
      <c r="O128" s="1" t="s">
        <v>164</v>
      </c>
    </row>
    <row r="129" spans="1:15" x14ac:dyDescent="0.35">
      <c r="A129" s="1" t="s">
        <v>125</v>
      </c>
      <c r="B129" s="1" t="s">
        <v>126</v>
      </c>
      <c r="C129" s="1">
        <v>2011</v>
      </c>
      <c r="D129" s="1">
        <v>2011</v>
      </c>
      <c r="E129" s="1">
        <v>2011</v>
      </c>
      <c r="F129" s="1" t="s">
        <v>292</v>
      </c>
      <c r="G129" s="1" t="s">
        <v>113</v>
      </c>
      <c r="H129" s="1" t="s">
        <v>109</v>
      </c>
      <c r="I129" s="1" t="s">
        <v>110</v>
      </c>
      <c r="J129" s="1">
        <v>10</v>
      </c>
      <c r="K129" s="1" t="s">
        <v>171</v>
      </c>
      <c r="L129" s="1" t="s">
        <v>85</v>
      </c>
      <c r="M129" s="1" t="s">
        <v>85</v>
      </c>
      <c r="N129" s="1">
        <v>2438.85</v>
      </c>
      <c r="O129" s="1" t="s">
        <v>164</v>
      </c>
    </row>
    <row r="130" spans="1:15" x14ac:dyDescent="0.35">
      <c r="A130" s="1" t="s">
        <v>125</v>
      </c>
      <c r="B130" s="1" t="s">
        <v>126</v>
      </c>
      <c r="C130" s="1">
        <v>2011</v>
      </c>
      <c r="D130" s="1">
        <v>2011</v>
      </c>
      <c r="E130" s="1">
        <v>2011</v>
      </c>
      <c r="F130" s="1" t="s">
        <v>103</v>
      </c>
      <c r="G130" s="1" t="s">
        <v>113</v>
      </c>
      <c r="H130" s="1" t="s">
        <v>111</v>
      </c>
      <c r="I130" s="1" t="s">
        <v>294</v>
      </c>
      <c r="J130" s="1" t="s">
        <v>85</v>
      </c>
      <c r="K130" s="1" t="s">
        <v>85</v>
      </c>
      <c r="L130" s="1" t="s">
        <v>85</v>
      </c>
      <c r="M130" s="1" t="s">
        <v>85</v>
      </c>
      <c r="N130" s="1">
        <v>4.42</v>
      </c>
      <c r="O130" s="1" t="s">
        <v>172</v>
      </c>
    </row>
    <row r="131" spans="1:15" x14ac:dyDescent="0.35">
      <c r="A131" s="1" t="s">
        <v>125</v>
      </c>
      <c r="B131" s="1" t="s">
        <v>126</v>
      </c>
      <c r="C131" s="1">
        <v>2011</v>
      </c>
      <c r="D131" s="1">
        <v>2011</v>
      </c>
      <c r="E131" s="1">
        <v>2011</v>
      </c>
      <c r="F131" s="1" t="s">
        <v>292</v>
      </c>
      <c r="G131" s="1" t="s">
        <v>113</v>
      </c>
      <c r="H131" s="1" t="s">
        <v>111</v>
      </c>
      <c r="I131" s="1" t="s">
        <v>294</v>
      </c>
      <c r="J131" s="1" t="s">
        <v>85</v>
      </c>
      <c r="K131" s="1" t="s">
        <v>85</v>
      </c>
      <c r="L131" s="1" t="s">
        <v>85</v>
      </c>
      <c r="M131" s="1" t="s">
        <v>85</v>
      </c>
      <c r="N131" s="1">
        <v>7.15</v>
      </c>
      <c r="O131" s="1" t="s">
        <v>172</v>
      </c>
    </row>
    <row r="132" spans="1:15" x14ac:dyDescent="0.35">
      <c r="A132" s="1" t="s">
        <v>125</v>
      </c>
      <c r="B132" s="1" t="s">
        <v>126</v>
      </c>
      <c r="C132" s="1">
        <v>2011</v>
      </c>
      <c r="D132" s="1">
        <v>2011</v>
      </c>
      <c r="E132" s="1">
        <v>2011</v>
      </c>
      <c r="F132" s="1" t="s">
        <v>103</v>
      </c>
      <c r="G132" s="1" t="s">
        <v>113</v>
      </c>
      <c r="H132" s="1" t="s">
        <v>111</v>
      </c>
      <c r="I132" s="1" t="s">
        <v>293</v>
      </c>
      <c r="J132" s="1">
        <v>750000</v>
      </c>
      <c r="K132" s="1" t="s">
        <v>112</v>
      </c>
      <c r="L132" s="1" t="s">
        <v>85</v>
      </c>
      <c r="M132" s="1" t="s">
        <v>85</v>
      </c>
      <c r="N132" s="1">
        <v>5.44</v>
      </c>
      <c r="O132" s="1" t="s">
        <v>172</v>
      </c>
    </row>
    <row r="133" spans="1:15" x14ac:dyDescent="0.35">
      <c r="A133" s="1" t="s">
        <v>125</v>
      </c>
      <c r="B133" s="1" t="s">
        <v>126</v>
      </c>
      <c r="C133" s="1">
        <v>2011</v>
      </c>
      <c r="D133" s="1">
        <v>2011</v>
      </c>
      <c r="E133" s="1">
        <v>2011</v>
      </c>
      <c r="F133" s="1" t="s">
        <v>103</v>
      </c>
      <c r="G133" s="1" t="s">
        <v>113</v>
      </c>
      <c r="H133" s="1" t="s">
        <v>111</v>
      </c>
      <c r="I133" s="1" t="s">
        <v>293</v>
      </c>
      <c r="J133" s="1">
        <v>3750000</v>
      </c>
      <c r="K133" s="1" t="s">
        <v>112</v>
      </c>
      <c r="L133" s="1" t="s">
        <v>85</v>
      </c>
      <c r="M133" s="1" t="s">
        <v>85</v>
      </c>
      <c r="N133" s="1">
        <v>4.76</v>
      </c>
      <c r="O133" s="1" t="s">
        <v>172</v>
      </c>
    </row>
    <row r="134" spans="1:15" x14ac:dyDescent="0.35">
      <c r="A134" s="1" t="s">
        <v>125</v>
      </c>
      <c r="B134" s="1" t="s">
        <v>126</v>
      </c>
      <c r="C134" s="1">
        <v>2011</v>
      </c>
      <c r="D134" s="1">
        <v>2011</v>
      </c>
      <c r="E134" s="1">
        <v>2011</v>
      </c>
      <c r="F134" s="1" t="s">
        <v>103</v>
      </c>
      <c r="G134" s="1" t="s">
        <v>113</v>
      </c>
      <c r="H134" s="1" t="s">
        <v>111</v>
      </c>
      <c r="I134" s="1" t="s">
        <v>293</v>
      </c>
      <c r="J134" s="1" t="s">
        <v>174</v>
      </c>
      <c r="K134" s="1" t="s">
        <v>112</v>
      </c>
      <c r="L134" s="1" t="s">
        <v>85</v>
      </c>
      <c r="M134" s="1" t="s">
        <v>85</v>
      </c>
      <c r="N134" s="1">
        <v>4.01</v>
      </c>
      <c r="O134" s="1" t="s">
        <v>172</v>
      </c>
    </row>
    <row r="135" spans="1:15" x14ac:dyDescent="0.35">
      <c r="A135" s="1" t="s">
        <v>125</v>
      </c>
      <c r="B135" s="1" t="s">
        <v>126</v>
      </c>
      <c r="C135" s="1">
        <v>2011</v>
      </c>
      <c r="D135" s="1">
        <v>2011</v>
      </c>
      <c r="E135" s="1">
        <v>2011</v>
      </c>
      <c r="F135" s="1" t="s">
        <v>292</v>
      </c>
      <c r="G135" s="1" t="s">
        <v>113</v>
      </c>
      <c r="H135" s="1" t="s">
        <v>111</v>
      </c>
      <c r="I135" s="1" t="s">
        <v>293</v>
      </c>
      <c r="J135" s="1">
        <v>750000</v>
      </c>
      <c r="K135" s="1" t="s">
        <v>112</v>
      </c>
      <c r="L135" s="1" t="s">
        <v>85</v>
      </c>
      <c r="M135" s="1" t="s">
        <v>85</v>
      </c>
      <c r="N135" s="1">
        <v>8.8000000000000007</v>
      </c>
      <c r="O135" s="1" t="s">
        <v>172</v>
      </c>
    </row>
    <row r="136" spans="1:15" x14ac:dyDescent="0.35">
      <c r="A136" s="1" t="s">
        <v>125</v>
      </c>
      <c r="B136" s="1" t="s">
        <v>126</v>
      </c>
      <c r="C136" s="1">
        <v>2011</v>
      </c>
      <c r="D136" s="1">
        <v>2011</v>
      </c>
      <c r="E136" s="1">
        <v>2011</v>
      </c>
      <c r="F136" s="1" t="s">
        <v>292</v>
      </c>
      <c r="G136" s="1" t="s">
        <v>113</v>
      </c>
      <c r="H136" s="1" t="s">
        <v>111</v>
      </c>
      <c r="I136" s="1" t="s">
        <v>293</v>
      </c>
      <c r="J136" s="1">
        <v>3750000</v>
      </c>
      <c r="K136" s="1" t="s">
        <v>112</v>
      </c>
      <c r="L136" s="1" t="s">
        <v>85</v>
      </c>
      <c r="M136" s="1" t="s">
        <v>85</v>
      </c>
      <c r="N136" s="1">
        <v>7.69</v>
      </c>
      <c r="O136" s="1" t="s">
        <v>172</v>
      </c>
    </row>
    <row r="137" spans="1:15" x14ac:dyDescent="0.35">
      <c r="A137" s="1" t="s">
        <v>125</v>
      </c>
      <c r="B137" s="1" t="s">
        <v>126</v>
      </c>
      <c r="C137" s="1">
        <v>2011</v>
      </c>
      <c r="D137" s="1">
        <v>2011</v>
      </c>
      <c r="E137" s="1">
        <v>2011</v>
      </c>
      <c r="F137" s="1" t="s">
        <v>292</v>
      </c>
      <c r="G137" s="1" t="s">
        <v>113</v>
      </c>
      <c r="H137" s="1" t="s">
        <v>111</v>
      </c>
      <c r="I137" s="1" t="s">
        <v>293</v>
      </c>
      <c r="J137" s="1" t="s">
        <v>174</v>
      </c>
      <c r="K137" s="1" t="s">
        <v>112</v>
      </c>
      <c r="L137" s="1" t="s">
        <v>85</v>
      </c>
      <c r="M137" s="1" t="s">
        <v>85</v>
      </c>
      <c r="N137" s="1">
        <v>6.48</v>
      </c>
      <c r="O137" s="1" t="s">
        <v>172</v>
      </c>
    </row>
    <row r="138" spans="1:15" x14ac:dyDescent="0.35">
      <c r="A138" s="1" t="s">
        <v>125</v>
      </c>
      <c r="B138" s="1" t="s">
        <v>126</v>
      </c>
      <c r="C138" s="1" t="s">
        <v>85</v>
      </c>
      <c r="D138" s="1">
        <v>2012</v>
      </c>
      <c r="E138" s="1">
        <v>2012</v>
      </c>
      <c r="F138" s="1" t="s">
        <v>103</v>
      </c>
      <c r="G138" s="1" t="s">
        <v>113</v>
      </c>
      <c r="H138" s="1" t="s">
        <v>109</v>
      </c>
      <c r="I138" s="1" t="s">
        <v>110</v>
      </c>
      <c r="J138" s="1">
        <f>5/8</f>
        <v>0.625</v>
      </c>
      <c r="K138" s="1" t="s">
        <v>171</v>
      </c>
      <c r="L138" s="1" t="s">
        <v>85</v>
      </c>
      <c r="M138" s="1" t="s">
        <v>85</v>
      </c>
      <c r="N138" s="1">
        <v>9.81</v>
      </c>
      <c r="O138" s="1" t="s">
        <v>164</v>
      </c>
    </row>
    <row r="139" spans="1:15" x14ac:dyDescent="0.35">
      <c r="A139" s="1" t="s">
        <v>125</v>
      </c>
      <c r="B139" s="1" t="s">
        <v>126</v>
      </c>
      <c r="C139" s="1" t="s">
        <v>85</v>
      </c>
      <c r="D139" s="1">
        <v>2012</v>
      </c>
      <c r="E139" s="1">
        <v>2012</v>
      </c>
      <c r="F139" s="1" t="s">
        <v>103</v>
      </c>
      <c r="G139" s="1" t="s">
        <v>113</v>
      </c>
      <c r="H139" s="1" t="s">
        <v>109</v>
      </c>
      <c r="I139" s="1" t="s">
        <v>110</v>
      </c>
      <c r="J139" s="1">
        <v>0.75</v>
      </c>
      <c r="K139" s="1" t="s">
        <v>171</v>
      </c>
      <c r="L139" s="1" t="s">
        <v>85</v>
      </c>
      <c r="M139" s="1" t="s">
        <v>85</v>
      </c>
      <c r="N139" s="1">
        <v>19.190000000000001</v>
      </c>
      <c r="O139" s="1" t="s">
        <v>164</v>
      </c>
    </row>
    <row r="140" spans="1:15" x14ac:dyDescent="0.35">
      <c r="A140" s="1" t="s">
        <v>125</v>
      </c>
      <c r="B140" s="1" t="s">
        <v>126</v>
      </c>
      <c r="C140" s="1" t="s">
        <v>85</v>
      </c>
      <c r="D140" s="1">
        <v>2012</v>
      </c>
      <c r="E140" s="1">
        <v>2012</v>
      </c>
      <c r="F140" s="1" t="s">
        <v>103</v>
      </c>
      <c r="G140" s="1" t="s">
        <v>113</v>
      </c>
      <c r="H140" s="1" t="s">
        <v>109</v>
      </c>
      <c r="I140" s="1" t="s">
        <v>110</v>
      </c>
      <c r="J140" s="1">
        <v>1</v>
      </c>
      <c r="K140" s="1" t="s">
        <v>171</v>
      </c>
      <c r="L140" s="1" t="s">
        <v>85</v>
      </c>
      <c r="M140" s="1" t="s">
        <v>85</v>
      </c>
      <c r="N140" s="1">
        <v>32.380000000000003</v>
      </c>
      <c r="O140" s="1" t="s">
        <v>164</v>
      </c>
    </row>
    <row r="141" spans="1:15" x14ac:dyDescent="0.35">
      <c r="A141" s="1" t="s">
        <v>125</v>
      </c>
      <c r="B141" s="1" t="s">
        <v>126</v>
      </c>
      <c r="C141" s="1" t="s">
        <v>85</v>
      </c>
      <c r="D141" s="1">
        <v>2012</v>
      </c>
      <c r="E141" s="1">
        <v>2012</v>
      </c>
      <c r="F141" s="1" t="s">
        <v>103</v>
      </c>
      <c r="G141" s="1" t="s">
        <v>113</v>
      </c>
      <c r="H141" s="1" t="s">
        <v>109</v>
      </c>
      <c r="I141" s="1" t="s">
        <v>110</v>
      </c>
      <c r="J141" s="1">
        <v>1.25</v>
      </c>
      <c r="K141" s="1" t="s">
        <v>171</v>
      </c>
      <c r="L141" s="1" t="s">
        <v>85</v>
      </c>
      <c r="M141" s="1" t="s">
        <v>85</v>
      </c>
      <c r="N141" s="1">
        <v>50.7</v>
      </c>
      <c r="O141" s="1" t="s">
        <v>164</v>
      </c>
    </row>
    <row r="142" spans="1:15" x14ac:dyDescent="0.35">
      <c r="A142" s="1" t="s">
        <v>125</v>
      </c>
      <c r="B142" s="1" t="s">
        <v>126</v>
      </c>
      <c r="C142" s="1" t="s">
        <v>85</v>
      </c>
      <c r="D142" s="1">
        <v>2012</v>
      </c>
      <c r="E142" s="1">
        <v>2012</v>
      </c>
      <c r="F142" s="1" t="s">
        <v>103</v>
      </c>
      <c r="G142" s="1" t="s">
        <v>113</v>
      </c>
      <c r="H142" s="1" t="s">
        <v>109</v>
      </c>
      <c r="I142" s="1" t="s">
        <v>110</v>
      </c>
      <c r="J142" s="1">
        <v>1.5</v>
      </c>
      <c r="K142" s="1" t="s">
        <v>171</v>
      </c>
      <c r="L142" s="1" t="s">
        <v>85</v>
      </c>
      <c r="M142" s="1" t="s">
        <v>85</v>
      </c>
      <c r="N142" s="1">
        <v>57.99</v>
      </c>
      <c r="O142" s="1" t="s">
        <v>164</v>
      </c>
    </row>
    <row r="143" spans="1:15" x14ac:dyDescent="0.35">
      <c r="A143" s="1" t="s">
        <v>125</v>
      </c>
      <c r="B143" s="1" t="s">
        <v>126</v>
      </c>
      <c r="C143" s="1" t="s">
        <v>85</v>
      </c>
      <c r="D143" s="1">
        <v>2012</v>
      </c>
      <c r="E143" s="1">
        <v>2012</v>
      </c>
      <c r="F143" s="1" t="s">
        <v>103</v>
      </c>
      <c r="G143" s="1" t="s">
        <v>113</v>
      </c>
      <c r="H143" s="1" t="s">
        <v>109</v>
      </c>
      <c r="I143" s="1" t="s">
        <v>110</v>
      </c>
      <c r="J143" s="1">
        <v>2</v>
      </c>
      <c r="K143" s="1" t="s">
        <v>171</v>
      </c>
      <c r="L143" s="1" t="s">
        <v>85</v>
      </c>
      <c r="M143" s="1" t="s">
        <v>85</v>
      </c>
      <c r="N143" s="1">
        <v>95.54</v>
      </c>
      <c r="O143" s="1" t="s">
        <v>164</v>
      </c>
    </row>
    <row r="144" spans="1:15" x14ac:dyDescent="0.35">
      <c r="A144" s="1" t="s">
        <v>125</v>
      </c>
      <c r="B144" s="1" t="s">
        <v>126</v>
      </c>
      <c r="C144" s="1" t="s">
        <v>85</v>
      </c>
      <c r="D144" s="1">
        <v>2012</v>
      </c>
      <c r="E144" s="1">
        <v>2012</v>
      </c>
      <c r="F144" s="1" t="s">
        <v>103</v>
      </c>
      <c r="G144" s="1" t="s">
        <v>113</v>
      </c>
      <c r="H144" s="1" t="s">
        <v>109</v>
      </c>
      <c r="I144" s="1" t="s">
        <v>110</v>
      </c>
      <c r="J144" s="1">
        <v>3</v>
      </c>
      <c r="K144" s="1" t="s">
        <v>171</v>
      </c>
      <c r="L144" s="1" t="s">
        <v>85</v>
      </c>
      <c r="M144" s="1" t="s">
        <v>85</v>
      </c>
      <c r="N144" s="1">
        <v>186.19</v>
      </c>
      <c r="O144" s="1" t="s">
        <v>164</v>
      </c>
    </row>
    <row r="145" spans="1:15" x14ac:dyDescent="0.35">
      <c r="A145" s="1" t="s">
        <v>125</v>
      </c>
      <c r="B145" s="1" t="s">
        <v>126</v>
      </c>
      <c r="C145" s="1" t="s">
        <v>85</v>
      </c>
      <c r="D145" s="1">
        <v>2012</v>
      </c>
      <c r="E145" s="1">
        <v>2012</v>
      </c>
      <c r="F145" s="1" t="s">
        <v>103</v>
      </c>
      <c r="G145" s="1" t="s">
        <v>113</v>
      </c>
      <c r="H145" s="1" t="s">
        <v>109</v>
      </c>
      <c r="I145" s="1" t="s">
        <v>110</v>
      </c>
      <c r="J145" s="1">
        <v>4</v>
      </c>
      <c r="K145" s="1" t="s">
        <v>171</v>
      </c>
      <c r="L145" s="1" t="s">
        <v>85</v>
      </c>
      <c r="M145" s="1" t="s">
        <v>85</v>
      </c>
      <c r="N145" s="1">
        <v>231.05</v>
      </c>
      <c r="O145" s="1" t="s">
        <v>164</v>
      </c>
    </row>
    <row r="146" spans="1:15" x14ac:dyDescent="0.35">
      <c r="A146" s="1" t="s">
        <v>125</v>
      </c>
      <c r="B146" s="1" t="s">
        <v>126</v>
      </c>
      <c r="C146" s="1" t="s">
        <v>85</v>
      </c>
      <c r="D146" s="1">
        <v>2012</v>
      </c>
      <c r="E146" s="1">
        <v>2012</v>
      </c>
      <c r="F146" s="1" t="s">
        <v>103</v>
      </c>
      <c r="G146" s="1" t="s">
        <v>113</v>
      </c>
      <c r="H146" s="1" t="s">
        <v>109</v>
      </c>
      <c r="I146" s="1" t="s">
        <v>110</v>
      </c>
      <c r="J146" s="1">
        <v>6</v>
      </c>
      <c r="K146" s="1" t="s">
        <v>171</v>
      </c>
      <c r="L146" s="1" t="s">
        <v>85</v>
      </c>
      <c r="M146" s="1" t="s">
        <v>85</v>
      </c>
      <c r="N146" s="1">
        <v>456.17</v>
      </c>
      <c r="O146" s="1" t="s">
        <v>164</v>
      </c>
    </row>
    <row r="147" spans="1:15" x14ac:dyDescent="0.35">
      <c r="A147" s="1" t="s">
        <v>125</v>
      </c>
      <c r="B147" s="1" t="s">
        <v>126</v>
      </c>
      <c r="C147" s="1" t="s">
        <v>85</v>
      </c>
      <c r="D147" s="1">
        <v>2012</v>
      </c>
      <c r="E147" s="1">
        <v>2012</v>
      </c>
      <c r="F147" s="1" t="s">
        <v>103</v>
      </c>
      <c r="G147" s="1" t="s">
        <v>113</v>
      </c>
      <c r="H147" s="1" t="s">
        <v>109</v>
      </c>
      <c r="I147" s="1" t="s">
        <v>110</v>
      </c>
      <c r="J147" s="1">
        <v>8</v>
      </c>
      <c r="K147" s="1" t="s">
        <v>171</v>
      </c>
      <c r="L147" s="1" t="s">
        <v>85</v>
      </c>
      <c r="M147" s="1" t="s">
        <v>85</v>
      </c>
      <c r="N147" s="1">
        <v>1135.6400000000001</v>
      </c>
      <c r="O147" s="1" t="s">
        <v>164</v>
      </c>
    </row>
    <row r="148" spans="1:15" x14ac:dyDescent="0.35">
      <c r="A148" s="1" t="s">
        <v>125</v>
      </c>
      <c r="B148" s="1" t="s">
        <v>126</v>
      </c>
      <c r="C148" s="1" t="s">
        <v>85</v>
      </c>
      <c r="D148" s="1">
        <v>2012</v>
      </c>
      <c r="E148" s="1">
        <v>2012</v>
      </c>
      <c r="F148" s="1" t="s">
        <v>103</v>
      </c>
      <c r="G148" s="1" t="s">
        <v>113</v>
      </c>
      <c r="H148" s="1" t="s">
        <v>109</v>
      </c>
      <c r="I148" s="1" t="s">
        <v>110</v>
      </c>
      <c r="J148" s="1">
        <v>10</v>
      </c>
      <c r="K148" s="1" t="s">
        <v>171</v>
      </c>
      <c r="L148" s="1" t="s">
        <v>85</v>
      </c>
      <c r="M148" s="1" t="s">
        <v>85</v>
      </c>
      <c r="N148" s="1">
        <v>1769.22</v>
      </c>
      <c r="O148" s="1" t="s">
        <v>164</v>
      </c>
    </row>
    <row r="149" spans="1:15" x14ac:dyDescent="0.35">
      <c r="A149" s="1" t="s">
        <v>125</v>
      </c>
      <c r="B149" s="1" t="s">
        <v>126</v>
      </c>
      <c r="C149" s="1" t="s">
        <v>85</v>
      </c>
      <c r="D149" s="1">
        <v>2012</v>
      </c>
      <c r="E149" s="1">
        <v>2012</v>
      </c>
      <c r="F149" s="1" t="s">
        <v>291</v>
      </c>
      <c r="G149" s="1" t="s">
        <v>113</v>
      </c>
      <c r="H149" s="1" t="s">
        <v>222</v>
      </c>
      <c r="I149" s="1" t="s">
        <v>110</v>
      </c>
      <c r="J149" s="1">
        <f>5/8</f>
        <v>0.625</v>
      </c>
      <c r="K149" s="1" t="s">
        <v>171</v>
      </c>
      <c r="L149" s="1" t="s">
        <v>85</v>
      </c>
      <c r="M149" s="1" t="s">
        <v>85</v>
      </c>
      <c r="N149" s="1">
        <v>7.21</v>
      </c>
      <c r="O149" s="1" t="s">
        <v>164</v>
      </c>
    </row>
    <row r="150" spans="1:15" x14ac:dyDescent="0.35">
      <c r="A150" s="1" t="s">
        <v>125</v>
      </c>
      <c r="B150" s="1" t="s">
        <v>126</v>
      </c>
      <c r="C150" s="1" t="s">
        <v>85</v>
      </c>
      <c r="D150" s="1">
        <v>2012</v>
      </c>
      <c r="E150" s="1">
        <v>2012</v>
      </c>
      <c r="F150" s="1" t="s">
        <v>291</v>
      </c>
      <c r="G150" s="1" t="s">
        <v>113</v>
      </c>
      <c r="H150" s="1" t="s">
        <v>222</v>
      </c>
      <c r="I150" s="1" t="s">
        <v>110</v>
      </c>
      <c r="J150" s="1">
        <v>0.75</v>
      </c>
      <c r="K150" s="1" t="s">
        <v>171</v>
      </c>
      <c r="L150" s="1" t="s">
        <v>85</v>
      </c>
      <c r="M150" s="1" t="s">
        <v>85</v>
      </c>
      <c r="N150" s="1">
        <v>7.21</v>
      </c>
      <c r="O150" s="1" t="s">
        <v>164</v>
      </c>
    </row>
    <row r="151" spans="1:15" x14ac:dyDescent="0.35">
      <c r="A151" s="1" t="s">
        <v>125</v>
      </c>
      <c r="B151" s="1" t="s">
        <v>126</v>
      </c>
      <c r="C151" s="1" t="s">
        <v>85</v>
      </c>
      <c r="D151" s="1">
        <v>2012</v>
      </c>
      <c r="E151" s="1">
        <v>2012</v>
      </c>
      <c r="F151" s="1" t="s">
        <v>291</v>
      </c>
      <c r="G151" s="1" t="s">
        <v>113</v>
      </c>
      <c r="H151" s="1" t="s">
        <v>222</v>
      </c>
      <c r="I151" s="1" t="s">
        <v>110</v>
      </c>
      <c r="J151" s="1">
        <v>1</v>
      </c>
      <c r="K151" s="1" t="s">
        <v>171</v>
      </c>
      <c r="L151" s="1" t="s">
        <v>85</v>
      </c>
      <c r="M151" s="1" t="s">
        <v>85</v>
      </c>
      <c r="N151" s="1">
        <v>28.3</v>
      </c>
      <c r="O151" s="1" t="s">
        <v>164</v>
      </c>
    </row>
    <row r="152" spans="1:15" x14ac:dyDescent="0.35">
      <c r="A152" s="1" t="s">
        <v>125</v>
      </c>
      <c r="B152" s="1" t="s">
        <v>126</v>
      </c>
      <c r="C152" s="1" t="s">
        <v>85</v>
      </c>
      <c r="D152" s="1">
        <v>2012</v>
      </c>
      <c r="E152" s="1">
        <v>2012</v>
      </c>
      <c r="F152" s="1" t="s">
        <v>291</v>
      </c>
      <c r="G152" s="1" t="s">
        <v>113</v>
      </c>
      <c r="H152" s="1" t="s">
        <v>222</v>
      </c>
      <c r="I152" s="1" t="s">
        <v>110</v>
      </c>
      <c r="J152" s="1">
        <v>1.25</v>
      </c>
      <c r="K152" s="1" t="s">
        <v>171</v>
      </c>
      <c r="L152" s="1" t="s">
        <v>85</v>
      </c>
      <c r="M152" s="1" t="s">
        <v>85</v>
      </c>
      <c r="N152" s="1">
        <v>44.31</v>
      </c>
      <c r="O152" s="1" t="s">
        <v>164</v>
      </c>
    </row>
    <row r="153" spans="1:15" x14ac:dyDescent="0.35">
      <c r="A153" s="1" t="s">
        <v>125</v>
      </c>
      <c r="B153" s="1" t="s">
        <v>126</v>
      </c>
      <c r="C153" s="1" t="s">
        <v>85</v>
      </c>
      <c r="D153" s="1">
        <v>2012</v>
      </c>
      <c r="E153" s="1">
        <v>2012</v>
      </c>
      <c r="F153" s="1" t="s">
        <v>291</v>
      </c>
      <c r="G153" s="1" t="s">
        <v>113</v>
      </c>
      <c r="H153" s="1" t="s">
        <v>222</v>
      </c>
      <c r="I153" s="1" t="s">
        <v>110</v>
      </c>
      <c r="J153" s="1">
        <v>1.5</v>
      </c>
      <c r="K153" s="1" t="s">
        <v>171</v>
      </c>
      <c r="L153" s="1" t="s">
        <v>85</v>
      </c>
      <c r="M153" s="1" t="s">
        <v>85</v>
      </c>
      <c r="N153" s="1">
        <v>50.67</v>
      </c>
      <c r="O153" s="1" t="s">
        <v>164</v>
      </c>
    </row>
    <row r="154" spans="1:15" x14ac:dyDescent="0.35">
      <c r="A154" s="1" t="s">
        <v>125</v>
      </c>
      <c r="B154" s="1" t="s">
        <v>126</v>
      </c>
      <c r="C154" s="1" t="s">
        <v>85</v>
      </c>
      <c r="D154" s="1">
        <v>2012</v>
      </c>
      <c r="E154" s="1">
        <v>2012</v>
      </c>
      <c r="F154" s="1" t="s">
        <v>291</v>
      </c>
      <c r="G154" s="1" t="s">
        <v>113</v>
      </c>
      <c r="H154" s="1" t="s">
        <v>222</v>
      </c>
      <c r="I154" s="1" t="s">
        <v>110</v>
      </c>
      <c r="J154" s="1">
        <v>2</v>
      </c>
      <c r="K154" s="1" t="s">
        <v>171</v>
      </c>
      <c r="L154" s="1" t="s">
        <v>85</v>
      </c>
      <c r="M154" s="1" t="s">
        <v>85</v>
      </c>
      <c r="N154" s="1">
        <v>83.47</v>
      </c>
      <c r="O154" s="1" t="s">
        <v>164</v>
      </c>
    </row>
    <row r="155" spans="1:15" x14ac:dyDescent="0.35">
      <c r="A155" s="1" t="s">
        <v>125</v>
      </c>
      <c r="B155" s="1" t="s">
        <v>126</v>
      </c>
      <c r="C155" s="1" t="s">
        <v>85</v>
      </c>
      <c r="D155" s="1">
        <v>2012</v>
      </c>
      <c r="E155" s="1">
        <v>2012</v>
      </c>
      <c r="F155" s="1" t="s">
        <v>291</v>
      </c>
      <c r="G155" s="1" t="s">
        <v>113</v>
      </c>
      <c r="H155" s="1" t="s">
        <v>222</v>
      </c>
      <c r="I155" s="1" t="s">
        <v>110</v>
      </c>
      <c r="J155" s="1">
        <v>3</v>
      </c>
      <c r="K155" s="1" t="s">
        <v>171</v>
      </c>
      <c r="L155" s="1" t="s">
        <v>85</v>
      </c>
      <c r="M155" s="1" t="s">
        <v>85</v>
      </c>
      <c r="N155" s="1">
        <v>162.69999999999999</v>
      </c>
      <c r="O155" s="1" t="s">
        <v>164</v>
      </c>
    </row>
    <row r="156" spans="1:15" x14ac:dyDescent="0.35">
      <c r="A156" s="1" t="s">
        <v>125</v>
      </c>
      <c r="B156" s="1" t="s">
        <v>126</v>
      </c>
      <c r="C156" s="1" t="s">
        <v>85</v>
      </c>
      <c r="D156" s="1">
        <v>2012</v>
      </c>
      <c r="E156" s="1">
        <v>2012</v>
      </c>
      <c r="F156" s="1" t="s">
        <v>291</v>
      </c>
      <c r="G156" s="1" t="s">
        <v>113</v>
      </c>
      <c r="H156" s="1" t="s">
        <v>222</v>
      </c>
      <c r="I156" s="1" t="s">
        <v>110</v>
      </c>
      <c r="J156" s="1">
        <v>4</v>
      </c>
      <c r="K156" s="1" t="s">
        <v>171</v>
      </c>
      <c r="L156" s="1" t="s">
        <v>85</v>
      </c>
      <c r="M156" s="1" t="s">
        <v>85</v>
      </c>
      <c r="N156" s="1">
        <v>201.86</v>
      </c>
      <c r="O156" s="1" t="s">
        <v>164</v>
      </c>
    </row>
    <row r="157" spans="1:15" x14ac:dyDescent="0.35">
      <c r="A157" s="1" t="s">
        <v>125</v>
      </c>
      <c r="B157" s="1" t="s">
        <v>126</v>
      </c>
      <c r="C157" s="1" t="s">
        <v>85</v>
      </c>
      <c r="D157" s="1">
        <v>2012</v>
      </c>
      <c r="E157" s="1">
        <v>2012</v>
      </c>
      <c r="F157" s="1" t="s">
        <v>291</v>
      </c>
      <c r="G157" s="1" t="s">
        <v>113</v>
      </c>
      <c r="H157" s="1" t="s">
        <v>222</v>
      </c>
      <c r="I157" s="1" t="s">
        <v>110</v>
      </c>
      <c r="J157" s="1">
        <v>6</v>
      </c>
      <c r="K157" s="1" t="s">
        <v>171</v>
      </c>
      <c r="L157" s="1" t="s">
        <v>85</v>
      </c>
      <c r="M157" s="1" t="s">
        <v>85</v>
      </c>
      <c r="N157" s="1">
        <v>398.61</v>
      </c>
      <c r="O157" s="1" t="s">
        <v>164</v>
      </c>
    </row>
    <row r="158" spans="1:15" x14ac:dyDescent="0.35">
      <c r="A158" s="1" t="s">
        <v>125</v>
      </c>
      <c r="B158" s="1" t="s">
        <v>126</v>
      </c>
      <c r="C158" s="1" t="s">
        <v>85</v>
      </c>
      <c r="D158" s="1">
        <v>2012</v>
      </c>
      <c r="E158" s="1">
        <v>2012</v>
      </c>
      <c r="F158" s="1" t="s">
        <v>291</v>
      </c>
      <c r="G158" s="1" t="s">
        <v>113</v>
      </c>
      <c r="H158" s="1" t="s">
        <v>222</v>
      </c>
      <c r="I158" s="1" t="s">
        <v>110</v>
      </c>
      <c r="J158" s="1">
        <v>8</v>
      </c>
      <c r="K158" s="1" t="s">
        <v>171</v>
      </c>
      <c r="L158" s="1" t="s">
        <v>85</v>
      </c>
      <c r="M158" s="1" t="s">
        <v>85</v>
      </c>
      <c r="N158" s="1">
        <v>992.28</v>
      </c>
      <c r="O158" s="1" t="s">
        <v>164</v>
      </c>
    </row>
    <row r="159" spans="1:15" x14ac:dyDescent="0.35">
      <c r="A159" s="1" t="s">
        <v>125</v>
      </c>
      <c r="B159" s="1" t="s">
        <v>126</v>
      </c>
      <c r="C159" s="1" t="s">
        <v>85</v>
      </c>
      <c r="D159" s="1">
        <v>2012</v>
      </c>
      <c r="E159" s="1">
        <v>2012</v>
      </c>
      <c r="F159" s="1" t="s">
        <v>291</v>
      </c>
      <c r="G159" s="1" t="s">
        <v>113</v>
      </c>
      <c r="H159" s="1" t="s">
        <v>109</v>
      </c>
      <c r="I159" s="1" t="s">
        <v>110</v>
      </c>
      <c r="J159" s="1">
        <v>10</v>
      </c>
      <c r="K159" s="1" t="s">
        <v>171</v>
      </c>
      <c r="L159" s="1" t="s">
        <v>85</v>
      </c>
      <c r="M159" s="1" t="s">
        <v>85</v>
      </c>
      <c r="N159" s="1">
        <v>1545.92</v>
      </c>
      <c r="O159" s="1" t="s">
        <v>164</v>
      </c>
    </row>
    <row r="160" spans="1:15" x14ac:dyDescent="0.35">
      <c r="A160" s="1" t="s">
        <v>125</v>
      </c>
      <c r="B160" s="1" t="s">
        <v>126</v>
      </c>
      <c r="C160" s="1" t="s">
        <v>85</v>
      </c>
      <c r="D160" s="1">
        <v>2012</v>
      </c>
      <c r="E160" s="1">
        <v>2012</v>
      </c>
      <c r="F160" s="1" t="s">
        <v>292</v>
      </c>
      <c r="G160" s="1" t="s">
        <v>113</v>
      </c>
      <c r="H160" s="1" t="s">
        <v>109</v>
      </c>
      <c r="I160" s="1" t="s">
        <v>110</v>
      </c>
      <c r="J160" s="1">
        <f>5/8</f>
        <v>0.625</v>
      </c>
      <c r="K160" s="1" t="s">
        <v>171</v>
      </c>
      <c r="L160" s="1" t="s">
        <v>85</v>
      </c>
      <c r="M160" s="1" t="s">
        <v>85</v>
      </c>
      <c r="N160" s="1">
        <v>13.5</v>
      </c>
      <c r="O160" s="1" t="s">
        <v>164</v>
      </c>
    </row>
    <row r="161" spans="1:15" x14ac:dyDescent="0.35">
      <c r="A161" s="1" t="s">
        <v>125</v>
      </c>
      <c r="B161" s="1" t="s">
        <v>126</v>
      </c>
      <c r="C161" s="1" t="s">
        <v>85</v>
      </c>
      <c r="D161" s="1">
        <v>2012</v>
      </c>
      <c r="E161" s="1">
        <v>2012</v>
      </c>
      <c r="F161" s="1" t="s">
        <v>292</v>
      </c>
      <c r="G161" s="1" t="s">
        <v>113</v>
      </c>
      <c r="H161" s="1" t="s">
        <v>109</v>
      </c>
      <c r="I161" s="1" t="s">
        <v>110</v>
      </c>
      <c r="J161" s="1">
        <v>0.75</v>
      </c>
      <c r="K161" s="1" t="s">
        <v>171</v>
      </c>
      <c r="L161" s="1" t="s">
        <v>85</v>
      </c>
      <c r="M161" s="1" t="s">
        <v>85</v>
      </c>
      <c r="N161" s="1">
        <v>26.44</v>
      </c>
      <c r="O161" s="1" t="s">
        <v>164</v>
      </c>
    </row>
    <row r="162" spans="1:15" x14ac:dyDescent="0.35">
      <c r="A162" s="1" t="s">
        <v>125</v>
      </c>
      <c r="B162" s="1" t="s">
        <v>126</v>
      </c>
      <c r="C162" s="1" t="s">
        <v>85</v>
      </c>
      <c r="D162" s="1">
        <v>2012</v>
      </c>
      <c r="E162" s="1">
        <v>2012</v>
      </c>
      <c r="F162" s="1" t="s">
        <v>292</v>
      </c>
      <c r="G162" s="1" t="s">
        <v>113</v>
      </c>
      <c r="H162" s="1" t="s">
        <v>109</v>
      </c>
      <c r="I162" s="1" t="s">
        <v>110</v>
      </c>
      <c r="J162" s="1">
        <v>1</v>
      </c>
      <c r="K162" s="1" t="s">
        <v>171</v>
      </c>
      <c r="L162" s="1" t="s">
        <v>85</v>
      </c>
      <c r="M162" s="1" t="s">
        <v>85</v>
      </c>
      <c r="N162" s="1">
        <v>44.63</v>
      </c>
      <c r="O162" s="1" t="s">
        <v>164</v>
      </c>
    </row>
    <row r="163" spans="1:15" x14ac:dyDescent="0.35">
      <c r="A163" s="1" t="s">
        <v>125</v>
      </c>
      <c r="B163" s="1" t="s">
        <v>126</v>
      </c>
      <c r="C163" s="1" t="s">
        <v>85</v>
      </c>
      <c r="D163" s="1">
        <v>2012</v>
      </c>
      <c r="E163" s="1">
        <v>2012</v>
      </c>
      <c r="F163" s="1" t="s">
        <v>292</v>
      </c>
      <c r="G163" s="1" t="s">
        <v>113</v>
      </c>
      <c r="H163" s="1" t="s">
        <v>109</v>
      </c>
      <c r="I163" s="1" t="s">
        <v>110</v>
      </c>
      <c r="J163" s="1">
        <v>1.25</v>
      </c>
      <c r="K163" s="1" t="s">
        <v>171</v>
      </c>
      <c r="L163" s="1" t="s">
        <v>85</v>
      </c>
      <c r="M163" s="1" t="s">
        <v>85</v>
      </c>
      <c r="N163" s="1">
        <v>69.88</v>
      </c>
      <c r="O163" s="1" t="s">
        <v>164</v>
      </c>
    </row>
    <row r="164" spans="1:15" x14ac:dyDescent="0.35">
      <c r="A164" s="1" t="s">
        <v>125</v>
      </c>
      <c r="B164" s="1" t="s">
        <v>126</v>
      </c>
      <c r="C164" s="1" t="s">
        <v>85</v>
      </c>
      <c r="D164" s="1">
        <v>2012</v>
      </c>
      <c r="E164" s="1">
        <v>2012</v>
      </c>
      <c r="F164" s="1" t="s">
        <v>292</v>
      </c>
      <c r="G164" s="1" t="s">
        <v>113</v>
      </c>
      <c r="H164" s="1" t="s">
        <v>109</v>
      </c>
      <c r="I164" s="1" t="s">
        <v>110</v>
      </c>
      <c r="J164" s="1">
        <v>1.5</v>
      </c>
      <c r="K164" s="1" t="s">
        <v>171</v>
      </c>
      <c r="L164" s="1" t="s">
        <v>85</v>
      </c>
      <c r="M164" s="1" t="s">
        <v>85</v>
      </c>
      <c r="N164" s="1">
        <v>79.930000000000007</v>
      </c>
      <c r="O164" s="1" t="s">
        <v>164</v>
      </c>
    </row>
    <row r="165" spans="1:15" x14ac:dyDescent="0.35">
      <c r="A165" s="1" t="s">
        <v>125</v>
      </c>
      <c r="B165" s="1" t="s">
        <v>126</v>
      </c>
      <c r="C165" s="1" t="s">
        <v>85</v>
      </c>
      <c r="D165" s="1">
        <v>2012</v>
      </c>
      <c r="E165" s="1">
        <v>2012</v>
      </c>
      <c r="F165" s="1" t="s">
        <v>292</v>
      </c>
      <c r="G165" s="1" t="s">
        <v>113</v>
      </c>
      <c r="H165" s="1" t="s">
        <v>109</v>
      </c>
      <c r="I165" s="1" t="s">
        <v>110</v>
      </c>
      <c r="J165" s="1">
        <v>2</v>
      </c>
      <c r="K165" s="1" t="s">
        <v>171</v>
      </c>
      <c r="L165" s="1" t="s">
        <v>85</v>
      </c>
      <c r="M165" s="1" t="s">
        <v>85</v>
      </c>
      <c r="N165" s="1">
        <v>131.69</v>
      </c>
      <c r="O165" s="1" t="s">
        <v>164</v>
      </c>
    </row>
    <row r="166" spans="1:15" x14ac:dyDescent="0.35">
      <c r="A166" s="1" t="s">
        <v>125</v>
      </c>
      <c r="B166" s="1" t="s">
        <v>126</v>
      </c>
      <c r="C166" s="1" t="s">
        <v>85</v>
      </c>
      <c r="D166" s="1">
        <v>2012</v>
      </c>
      <c r="E166" s="1">
        <v>2012</v>
      </c>
      <c r="F166" s="1" t="s">
        <v>292</v>
      </c>
      <c r="G166" s="1" t="s">
        <v>113</v>
      </c>
      <c r="H166" s="1" t="s">
        <v>109</v>
      </c>
      <c r="I166" s="1" t="s">
        <v>110</v>
      </c>
      <c r="J166" s="1">
        <v>3</v>
      </c>
      <c r="K166" s="1" t="s">
        <v>171</v>
      </c>
      <c r="L166" s="1" t="s">
        <v>85</v>
      </c>
      <c r="M166" s="1" t="s">
        <v>85</v>
      </c>
      <c r="N166" s="1">
        <v>256.64999999999998</v>
      </c>
      <c r="O166" s="1" t="s">
        <v>164</v>
      </c>
    </row>
    <row r="167" spans="1:15" x14ac:dyDescent="0.35">
      <c r="A167" s="1" t="s">
        <v>125</v>
      </c>
      <c r="B167" s="1" t="s">
        <v>126</v>
      </c>
      <c r="C167" s="1" t="s">
        <v>85</v>
      </c>
      <c r="D167" s="1">
        <v>2012</v>
      </c>
      <c r="E167" s="1">
        <v>2012</v>
      </c>
      <c r="F167" s="1" t="s">
        <v>292</v>
      </c>
      <c r="G167" s="1" t="s">
        <v>113</v>
      </c>
      <c r="H167" s="1" t="s">
        <v>109</v>
      </c>
      <c r="I167" s="1" t="s">
        <v>110</v>
      </c>
      <c r="J167" s="1">
        <v>4</v>
      </c>
      <c r="K167" s="1" t="s">
        <v>171</v>
      </c>
      <c r="L167" s="1" t="s">
        <v>85</v>
      </c>
      <c r="M167" s="1" t="s">
        <v>85</v>
      </c>
      <c r="N167" s="1">
        <v>318.47000000000003</v>
      </c>
      <c r="O167" s="1" t="s">
        <v>164</v>
      </c>
    </row>
    <row r="168" spans="1:15" x14ac:dyDescent="0.35">
      <c r="A168" s="1" t="s">
        <v>125</v>
      </c>
      <c r="B168" s="1" t="s">
        <v>126</v>
      </c>
      <c r="C168" s="1" t="s">
        <v>85</v>
      </c>
      <c r="D168" s="1">
        <v>2012</v>
      </c>
      <c r="E168" s="1">
        <v>2012</v>
      </c>
      <c r="F168" s="1" t="s">
        <v>292</v>
      </c>
      <c r="G168" s="1" t="s">
        <v>113</v>
      </c>
      <c r="H168" s="1" t="s">
        <v>109</v>
      </c>
      <c r="I168" s="1" t="s">
        <v>110</v>
      </c>
      <c r="J168" s="1">
        <v>6</v>
      </c>
      <c r="K168" s="1" t="s">
        <v>171</v>
      </c>
      <c r="L168" s="1" t="s">
        <v>85</v>
      </c>
      <c r="M168" s="1" t="s">
        <v>85</v>
      </c>
      <c r="N168" s="1">
        <v>628.82000000000005</v>
      </c>
      <c r="O168" s="1" t="s">
        <v>164</v>
      </c>
    </row>
    <row r="169" spans="1:15" x14ac:dyDescent="0.35">
      <c r="A169" s="1" t="s">
        <v>125</v>
      </c>
      <c r="B169" s="1" t="s">
        <v>126</v>
      </c>
      <c r="C169" s="1" t="s">
        <v>85</v>
      </c>
      <c r="D169" s="1">
        <v>2012</v>
      </c>
      <c r="E169" s="1">
        <v>2012</v>
      </c>
      <c r="F169" s="1" t="s">
        <v>292</v>
      </c>
      <c r="G169" s="1" t="s">
        <v>113</v>
      </c>
      <c r="H169" s="1" t="s">
        <v>109</v>
      </c>
      <c r="I169" s="1" t="s">
        <v>110</v>
      </c>
      <c r="J169" s="1">
        <v>8</v>
      </c>
      <c r="K169" s="1" t="s">
        <v>171</v>
      </c>
      <c r="L169" s="1" t="s">
        <v>85</v>
      </c>
      <c r="M169" s="1" t="s">
        <v>85</v>
      </c>
      <c r="N169" s="1">
        <v>1565.45</v>
      </c>
      <c r="O169" s="1" t="s">
        <v>164</v>
      </c>
    </row>
    <row r="170" spans="1:15" x14ac:dyDescent="0.35">
      <c r="A170" s="1" t="s">
        <v>125</v>
      </c>
      <c r="B170" s="1" t="s">
        <v>126</v>
      </c>
      <c r="C170" s="1" t="s">
        <v>85</v>
      </c>
      <c r="D170" s="1">
        <v>2012</v>
      </c>
      <c r="E170" s="1">
        <v>2012</v>
      </c>
      <c r="F170" s="1" t="s">
        <v>292</v>
      </c>
      <c r="G170" s="1" t="s">
        <v>113</v>
      </c>
      <c r="H170" s="1" t="s">
        <v>109</v>
      </c>
      <c r="I170" s="1" t="s">
        <v>110</v>
      </c>
      <c r="J170" s="1">
        <v>10</v>
      </c>
      <c r="K170" s="1" t="s">
        <v>171</v>
      </c>
      <c r="L170" s="1" t="s">
        <v>85</v>
      </c>
      <c r="M170" s="1" t="s">
        <v>85</v>
      </c>
      <c r="N170" s="1">
        <v>2438.85</v>
      </c>
      <c r="O170" s="1" t="s">
        <v>164</v>
      </c>
    </row>
    <row r="171" spans="1:15" x14ac:dyDescent="0.35">
      <c r="A171" s="1" t="s">
        <v>125</v>
      </c>
      <c r="B171" s="1" t="s">
        <v>126</v>
      </c>
      <c r="C171" s="1" t="s">
        <v>85</v>
      </c>
      <c r="D171" s="1">
        <v>2012</v>
      </c>
      <c r="E171" s="1">
        <v>2012</v>
      </c>
      <c r="F171" s="1" t="s">
        <v>103</v>
      </c>
      <c r="G171" s="1" t="s">
        <v>113</v>
      </c>
      <c r="H171" s="1" t="s">
        <v>111</v>
      </c>
      <c r="I171" s="1" t="s">
        <v>294</v>
      </c>
      <c r="J171" s="1" t="s">
        <v>85</v>
      </c>
      <c r="K171" s="1" t="s">
        <v>85</v>
      </c>
      <c r="L171" s="1" t="s">
        <v>85</v>
      </c>
      <c r="M171" s="1" t="s">
        <v>85</v>
      </c>
      <c r="N171" s="1">
        <v>5.19</v>
      </c>
      <c r="O171" s="1" t="s">
        <v>172</v>
      </c>
    </row>
    <row r="172" spans="1:15" x14ac:dyDescent="0.35">
      <c r="A172" s="1" t="s">
        <v>125</v>
      </c>
      <c r="B172" s="1" t="s">
        <v>126</v>
      </c>
      <c r="C172" s="1" t="s">
        <v>85</v>
      </c>
      <c r="D172" s="1">
        <v>2012</v>
      </c>
      <c r="E172" s="1">
        <v>2012</v>
      </c>
      <c r="F172" s="1" t="s">
        <v>292</v>
      </c>
      <c r="G172" s="1" t="s">
        <v>113</v>
      </c>
      <c r="H172" s="1" t="s">
        <v>111</v>
      </c>
      <c r="I172" s="1" t="s">
        <v>294</v>
      </c>
      <c r="J172" s="1" t="s">
        <v>85</v>
      </c>
      <c r="K172" s="1" t="s">
        <v>85</v>
      </c>
      <c r="L172" s="1" t="s">
        <v>85</v>
      </c>
      <c r="M172" s="1" t="s">
        <v>85</v>
      </c>
      <c r="N172" s="1">
        <v>7.15</v>
      </c>
      <c r="O172" s="1" t="s">
        <v>172</v>
      </c>
    </row>
    <row r="173" spans="1:15" x14ac:dyDescent="0.35">
      <c r="A173" s="1" t="s">
        <v>125</v>
      </c>
      <c r="B173" s="1" t="s">
        <v>126</v>
      </c>
      <c r="C173" s="1" t="s">
        <v>85</v>
      </c>
      <c r="D173" s="1">
        <v>2012</v>
      </c>
      <c r="E173" s="1">
        <v>2012</v>
      </c>
      <c r="F173" s="1" t="s">
        <v>103</v>
      </c>
      <c r="G173" s="1" t="s">
        <v>113</v>
      </c>
      <c r="H173" s="1" t="s">
        <v>111</v>
      </c>
      <c r="I173" s="1" t="s">
        <v>293</v>
      </c>
      <c r="J173" s="1">
        <v>750000</v>
      </c>
      <c r="K173" s="1" t="s">
        <v>112</v>
      </c>
      <c r="L173" s="1" t="s">
        <v>85</v>
      </c>
      <c r="M173" s="1" t="s">
        <v>85</v>
      </c>
      <c r="N173" s="1">
        <v>6.3860000000000001</v>
      </c>
      <c r="O173" s="1" t="s">
        <v>172</v>
      </c>
    </row>
    <row r="174" spans="1:15" x14ac:dyDescent="0.35">
      <c r="A174" s="1" t="s">
        <v>125</v>
      </c>
      <c r="B174" s="1" t="s">
        <v>126</v>
      </c>
      <c r="C174" s="1" t="s">
        <v>85</v>
      </c>
      <c r="D174" s="1">
        <v>2012</v>
      </c>
      <c r="E174" s="1">
        <v>2012</v>
      </c>
      <c r="F174" s="1" t="s">
        <v>103</v>
      </c>
      <c r="G174" s="1" t="s">
        <v>113</v>
      </c>
      <c r="H174" s="1" t="s">
        <v>111</v>
      </c>
      <c r="I174" s="1" t="s">
        <v>293</v>
      </c>
      <c r="J174" s="1">
        <v>3750000</v>
      </c>
      <c r="K174" s="1" t="s">
        <v>112</v>
      </c>
      <c r="L174" s="1" t="s">
        <v>85</v>
      </c>
      <c r="M174" s="1" t="s">
        <v>85</v>
      </c>
      <c r="N174" s="1">
        <v>5.5826000000000002</v>
      </c>
      <c r="O174" s="1" t="s">
        <v>172</v>
      </c>
    </row>
    <row r="175" spans="1:15" x14ac:dyDescent="0.35">
      <c r="A175" s="1" t="s">
        <v>125</v>
      </c>
      <c r="B175" s="1" t="s">
        <v>126</v>
      </c>
      <c r="C175" s="1" t="s">
        <v>85</v>
      </c>
      <c r="D175" s="1">
        <v>2012</v>
      </c>
      <c r="E175" s="1">
        <v>2012</v>
      </c>
      <c r="F175" s="1" t="s">
        <v>103</v>
      </c>
      <c r="G175" s="1" t="s">
        <v>113</v>
      </c>
      <c r="H175" s="1" t="s">
        <v>111</v>
      </c>
      <c r="I175" s="1" t="s">
        <v>293</v>
      </c>
      <c r="J175" s="1" t="s">
        <v>174</v>
      </c>
      <c r="K175" s="1" t="s">
        <v>112</v>
      </c>
      <c r="L175" s="1" t="s">
        <v>85</v>
      </c>
      <c r="M175" s="1" t="s">
        <v>85</v>
      </c>
      <c r="N175" s="1">
        <v>4.7173999999999996</v>
      </c>
      <c r="O175" s="1" t="s">
        <v>172</v>
      </c>
    </row>
    <row r="176" spans="1:15" x14ac:dyDescent="0.35">
      <c r="A176" s="1" t="s">
        <v>125</v>
      </c>
      <c r="B176" s="1" t="s">
        <v>126</v>
      </c>
      <c r="C176" s="1" t="s">
        <v>85</v>
      </c>
      <c r="D176" s="1">
        <v>2012</v>
      </c>
      <c r="E176" s="1">
        <v>2012</v>
      </c>
      <c r="F176" s="1" t="s">
        <v>292</v>
      </c>
      <c r="G176" s="1" t="s">
        <v>113</v>
      </c>
      <c r="H176" s="1" t="s">
        <v>111</v>
      </c>
      <c r="I176" s="1" t="s">
        <v>293</v>
      </c>
      <c r="J176" s="1">
        <v>750000</v>
      </c>
      <c r="K176" s="1" t="s">
        <v>112</v>
      </c>
      <c r="L176" s="1" t="s">
        <v>85</v>
      </c>
      <c r="M176" s="1" t="s">
        <v>85</v>
      </c>
      <c r="N176" s="1">
        <v>8.8000000000000007</v>
      </c>
      <c r="O176" s="1" t="s">
        <v>172</v>
      </c>
    </row>
    <row r="177" spans="1:15" x14ac:dyDescent="0.35">
      <c r="A177" s="1" t="s">
        <v>125</v>
      </c>
      <c r="B177" s="1" t="s">
        <v>126</v>
      </c>
      <c r="C177" s="1" t="s">
        <v>85</v>
      </c>
      <c r="D177" s="1">
        <v>2012</v>
      </c>
      <c r="E177" s="1">
        <v>2012</v>
      </c>
      <c r="F177" s="1" t="s">
        <v>292</v>
      </c>
      <c r="G177" s="1" t="s">
        <v>113</v>
      </c>
      <c r="H177" s="1" t="s">
        <v>111</v>
      </c>
      <c r="I177" s="1" t="s">
        <v>293</v>
      </c>
      <c r="J177" s="1">
        <v>3750000</v>
      </c>
      <c r="K177" s="1" t="s">
        <v>112</v>
      </c>
      <c r="L177" s="1" t="s">
        <v>85</v>
      </c>
      <c r="M177" s="1" t="s">
        <v>85</v>
      </c>
      <c r="N177" s="1">
        <v>7.69</v>
      </c>
      <c r="O177" s="1" t="s">
        <v>172</v>
      </c>
    </row>
    <row r="178" spans="1:15" x14ac:dyDescent="0.35">
      <c r="A178" s="1" t="s">
        <v>125</v>
      </c>
      <c r="B178" s="1" t="s">
        <v>126</v>
      </c>
      <c r="C178" s="1" t="s">
        <v>85</v>
      </c>
      <c r="D178" s="1">
        <v>2012</v>
      </c>
      <c r="E178" s="1">
        <v>2012</v>
      </c>
      <c r="F178" s="1" t="s">
        <v>292</v>
      </c>
      <c r="G178" s="1" t="s">
        <v>113</v>
      </c>
      <c r="H178" s="1" t="s">
        <v>111</v>
      </c>
      <c r="I178" s="1" t="s">
        <v>293</v>
      </c>
      <c r="J178" s="1" t="s">
        <v>174</v>
      </c>
      <c r="K178" s="1" t="s">
        <v>112</v>
      </c>
      <c r="L178" s="1" t="s">
        <v>85</v>
      </c>
      <c r="M178" s="1" t="s">
        <v>85</v>
      </c>
      <c r="N178" s="1">
        <v>6.48</v>
      </c>
      <c r="O178" s="1" t="s">
        <v>172</v>
      </c>
    </row>
    <row r="179" spans="1:15" x14ac:dyDescent="0.35">
      <c r="A179" s="1" t="s">
        <v>125</v>
      </c>
      <c r="B179" s="1" t="s">
        <v>126</v>
      </c>
      <c r="C179" s="1" t="s">
        <v>85</v>
      </c>
      <c r="D179" s="1">
        <v>2013</v>
      </c>
      <c r="E179" s="1">
        <v>2013</v>
      </c>
      <c r="F179" s="1" t="s">
        <v>103</v>
      </c>
      <c r="G179" s="1" t="s">
        <v>113</v>
      </c>
      <c r="H179" s="1" t="s">
        <v>109</v>
      </c>
      <c r="I179" s="1" t="s">
        <v>110</v>
      </c>
      <c r="J179" s="1">
        <f>5/8</f>
        <v>0.625</v>
      </c>
      <c r="K179" s="1" t="s">
        <v>171</v>
      </c>
      <c r="L179" s="1" t="s">
        <v>85</v>
      </c>
      <c r="M179" s="1" t="s">
        <v>85</v>
      </c>
      <c r="N179" s="1">
        <v>10.1</v>
      </c>
      <c r="O179" s="1" t="s">
        <v>164</v>
      </c>
    </row>
    <row r="180" spans="1:15" x14ac:dyDescent="0.35">
      <c r="A180" s="1" t="s">
        <v>125</v>
      </c>
      <c r="B180" s="1" t="s">
        <v>126</v>
      </c>
      <c r="C180" s="1" t="s">
        <v>85</v>
      </c>
      <c r="D180" s="1">
        <v>2013</v>
      </c>
      <c r="E180" s="1">
        <v>2013</v>
      </c>
      <c r="F180" s="1" t="s">
        <v>103</v>
      </c>
      <c r="G180" s="1" t="s">
        <v>113</v>
      </c>
      <c r="H180" s="1" t="s">
        <v>109</v>
      </c>
      <c r="I180" s="1" t="s">
        <v>110</v>
      </c>
      <c r="J180" s="1">
        <v>0.75</v>
      </c>
      <c r="K180" s="1" t="s">
        <v>171</v>
      </c>
      <c r="L180" s="1" t="s">
        <v>85</v>
      </c>
      <c r="M180" s="1" t="s">
        <v>85</v>
      </c>
      <c r="N180" s="1">
        <v>19.77</v>
      </c>
      <c r="O180" s="1" t="s">
        <v>164</v>
      </c>
    </row>
    <row r="181" spans="1:15" x14ac:dyDescent="0.35">
      <c r="A181" s="1" t="s">
        <v>125</v>
      </c>
      <c r="B181" s="1" t="s">
        <v>126</v>
      </c>
      <c r="C181" s="1" t="s">
        <v>85</v>
      </c>
      <c r="D181" s="1">
        <v>2013</v>
      </c>
      <c r="E181" s="1">
        <v>2013</v>
      </c>
      <c r="F181" s="1" t="s">
        <v>103</v>
      </c>
      <c r="G181" s="1" t="s">
        <v>113</v>
      </c>
      <c r="H181" s="1" t="s">
        <v>109</v>
      </c>
      <c r="I181" s="1" t="s">
        <v>110</v>
      </c>
      <c r="J181" s="1">
        <v>1</v>
      </c>
      <c r="K181" s="1" t="s">
        <v>171</v>
      </c>
      <c r="L181" s="1" t="s">
        <v>85</v>
      </c>
      <c r="M181" s="1" t="s">
        <v>85</v>
      </c>
      <c r="N181" s="1">
        <v>33.35</v>
      </c>
      <c r="O181" s="1" t="s">
        <v>164</v>
      </c>
    </row>
    <row r="182" spans="1:15" x14ac:dyDescent="0.35">
      <c r="A182" s="1" t="s">
        <v>125</v>
      </c>
      <c r="B182" s="1" t="s">
        <v>126</v>
      </c>
      <c r="C182" s="1" t="s">
        <v>85</v>
      </c>
      <c r="D182" s="1">
        <v>2013</v>
      </c>
      <c r="E182" s="1">
        <v>2013</v>
      </c>
      <c r="F182" s="1" t="s">
        <v>103</v>
      </c>
      <c r="G182" s="1" t="s">
        <v>113</v>
      </c>
      <c r="H182" s="1" t="s">
        <v>109</v>
      </c>
      <c r="I182" s="1" t="s">
        <v>110</v>
      </c>
      <c r="J182" s="1">
        <v>1.25</v>
      </c>
      <c r="K182" s="1" t="s">
        <v>171</v>
      </c>
      <c r="L182" s="1" t="s">
        <v>85</v>
      </c>
      <c r="M182" s="1" t="s">
        <v>85</v>
      </c>
      <c r="N182" s="1">
        <v>52.22</v>
      </c>
      <c r="O182" s="1" t="s">
        <v>164</v>
      </c>
    </row>
    <row r="183" spans="1:15" x14ac:dyDescent="0.35">
      <c r="A183" s="1" t="s">
        <v>125</v>
      </c>
      <c r="B183" s="1" t="s">
        <v>126</v>
      </c>
      <c r="C183" s="1" t="s">
        <v>85</v>
      </c>
      <c r="D183" s="1">
        <v>2013</v>
      </c>
      <c r="E183" s="1">
        <v>2013</v>
      </c>
      <c r="F183" s="1" t="s">
        <v>103</v>
      </c>
      <c r="G183" s="1" t="s">
        <v>113</v>
      </c>
      <c r="H183" s="1" t="s">
        <v>109</v>
      </c>
      <c r="I183" s="1" t="s">
        <v>110</v>
      </c>
      <c r="J183" s="1">
        <v>1.5</v>
      </c>
      <c r="K183" s="1" t="s">
        <v>171</v>
      </c>
      <c r="L183" s="1" t="s">
        <v>85</v>
      </c>
      <c r="M183" s="1" t="s">
        <v>85</v>
      </c>
      <c r="N183" s="1">
        <v>59.33</v>
      </c>
      <c r="O183" s="1" t="s">
        <v>164</v>
      </c>
    </row>
    <row r="184" spans="1:15" x14ac:dyDescent="0.35">
      <c r="A184" s="1" t="s">
        <v>125</v>
      </c>
      <c r="B184" s="1" t="s">
        <v>126</v>
      </c>
      <c r="C184" s="1" t="s">
        <v>85</v>
      </c>
      <c r="D184" s="1">
        <v>2013</v>
      </c>
      <c r="E184" s="1">
        <v>2013</v>
      </c>
      <c r="F184" s="1" t="s">
        <v>103</v>
      </c>
      <c r="G184" s="1" t="s">
        <v>113</v>
      </c>
      <c r="H184" s="1" t="s">
        <v>109</v>
      </c>
      <c r="I184" s="1" t="s">
        <v>110</v>
      </c>
      <c r="J184" s="1">
        <v>2</v>
      </c>
      <c r="K184" s="1" t="s">
        <v>171</v>
      </c>
      <c r="L184" s="1" t="s">
        <v>85</v>
      </c>
      <c r="M184" s="1" t="s">
        <v>85</v>
      </c>
      <c r="N184" s="1">
        <v>98.41</v>
      </c>
      <c r="O184" s="1" t="s">
        <v>164</v>
      </c>
    </row>
    <row r="185" spans="1:15" x14ac:dyDescent="0.35">
      <c r="A185" s="1" t="s">
        <v>125</v>
      </c>
      <c r="B185" s="1" t="s">
        <v>126</v>
      </c>
      <c r="C185" s="1" t="s">
        <v>85</v>
      </c>
      <c r="D185" s="1">
        <v>2013</v>
      </c>
      <c r="E185" s="1">
        <v>2013</v>
      </c>
      <c r="F185" s="1" t="s">
        <v>103</v>
      </c>
      <c r="G185" s="1" t="s">
        <v>113</v>
      </c>
      <c r="H185" s="1" t="s">
        <v>109</v>
      </c>
      <c r="I185" s="1" t="s">
        <v>110</v>
      </c>
      <c r="J185" s="1">
        <v>3</v>
      </c>
      <c r="K185" s="1" t="s">
        <v>171</v>
      </c>
      <c r="L185" s="1" t="s">
        <v>85</v>
      </c>
      <c r="M185" s="1" t="s">
        <v>85</v>
      </c>
      <c r="N185" s="1">
        <v>191.78</v>
      </c>
      <c r="O185" s="1" t="s">
        <v>164</v>
      </c>
    </row>
    <row r="186" spans="1:15" x14ac:dyDescent="0.35">
      <c r="A186" s="1" t="s">
        <v>125</v>
      </c>
      <c r="B186" s="1" t="s">
        <v>126</v>
      </c>
      <c r="C186" s="1" t="s">
        <v>85</v>
      </c>
      <c r="D186" s="1">
        <v>2013</v>
      </c>
      <c r="E186" s="1">
        <v>2013</v>
      </c>
      <c r="F186" s="1" t="s">
        <v>103</v>
      </c>
      <c r="G186" s="1" t="s">
        <v>113</v>
      </c>
      <c r="H186" s="1" t="s">
        <v>109</v>
      </c>
      <c r="I186" s="1" t="s">
        <v>110</v>
      </c>
      <c r="J186" s="1">
        <v>4</v>
      </c>
      <c r="K186" s="1" t="s">
        <v>171</v>
      </c>
      <c r="L186" s="1" t="s">
        <v>85</v>
      </c>
      <c r="M186" s="1" t="s">
        <v>85</v>
      </c>
      <c r="N186" s="1">
        <v>237.98</v>
      </c>
      <c r="O186" s="1" t="s">
        <v>164</v>
      </c>
    </row>
    <row r="187" spans="1:15" x14ac:dyDescent="0.35">
      <c r="A187" s="1" t="s">
        <v>125</v>
      </c>
      <c r="B187" s="1" t="s">
        <v>126</v>
      </c>
      <c r="C187" s="1" t="s">
        <v>85</v>
      </c>
      <c r="D187" s="1">
        <v>2013</v>
      </c>
      <c r="E187" s="1">
        <v>2013</v>
      </c>
      <c r="F187" s="1" t="s">
        <v>103</v>
      </c>
      <c r="G187" s="1" t="s">
        <v>113</v>
      </c>
      <c r="H187" s="1" t="s">
        <v>109</v>
      </c>
      <c r="I187" s="1" t="s">
        <v>110</v>
      </c>
      <c r="J187" s="1">
        <v>6</v>
      </c>
      <c r="K187" s="1" t="s">
        <v>171</v>
      </c>
      <c r="L187" s="1" t="s">
        <v>85</v>
      </c>
      <c r="M187" s="1" t="s">
        <v>85</v>
      </c>
      <c r="N187" s="1">
        <v>469.86</v>
      </c>
      <c r="O187" s="1" t="s">
        <v>164</v>
      </c>
    </row>
    <row r="188" spans="1:15" x14ac:dyDescent="0.35">
      <c r="A188" s="1" t="s">
        <v>125</v>
      </c>
      <c r="B188" s="1" t="s">
        <v>126</v>
      </c>
      <c r="C188" s="1" t="s">
        <v>85</v>
      </c>
      <c r="D188" s="1">
        <v>2013</v>
      </c>
      <c r="E188" s="1">
        <v>2013</v>
      </c>
      <c r="F188" s="1" t="s">
        <v>103</v>
      </c>
      <c r="G188" s="1" t="s">
        <v>113</v>
      </c>
      <c r="H188" s="1" t="s">
        <v>109</v>
      </c>
      <c r="I188" s="1" t="s">
        <v>110</v>
      </c>
      <c r="J188" s="1">
        <v>8</v>
      </c>
      <c r="K188" s="1" t="s">
        <v>171</v>
      </c>
      <c r="L188" s="1" t="s">
        <v>85</v>
      </c>
      <c r="M188" s="1" t="s">
        <v>85</v>
      </c>
      <c r="N188" s="1">
        <v>1169.71</v>
      </c>
      <c r="O188" s="1" t="s">
        <v>164</v>
      </c>
    </row>
    <row r="189" spans="1:15" x14ac:dyDescent="0.35">
      <c r="A189" s="1" t="s">
        <v>125</v>
      </c>
      <c r="B189" s="1" t="s">
        <v>126</v>
      </c>
      <c r="C189" s="1" t="s">
        <v>85</v>
      </c>
      <c r="D189" s="1">
        <v>2013</v>
      </c>
      <c r="E189" s="1">
        <v>2013</v>
      </c>
      <c r="F189" s="1" t="s">
        <v>103</v>
      </c>
      <c r="G189" s="1" t="s">
        <v>113</v>
      </c>
      <c r="H189" s="1" t="s">
        <v>109</v>
      </c>
      <c r="I189" s="1" t="s">
        <v>110</v>
      </c>
      <c r="J189" s="1">
        <v>10</v>
      </c>
      <c r="K189" s="1" t="s">
        <v>171</v>
      </c>
      <c r="L189" s="1" t="s">
        <v>85</v>
      </c>
      <c r="M189" s="1" t="s">
        <v>85</v>
      </c>
      <c r="N189" s="1">
        <v>1822.3</v>
      </c>
      <c r="O189" s="1" t="s">
        <v>164</v>
      </c>
    </row>
    <row r="190" spans="1:15" x14ac:dyDescent="0.35">
      <c r="A190" s="1" t="s">
        <v>125</v>
      </c>
      <c r="B190" s="1" t="s">
        <v>126</v>
      </c>
      <c r="C190" s="1" t="s">
        <v>85</v>
      </c>
      <c r="D190" s="1">
        <v>2013</v>
      </c>
      <c r="E190" s="1">
        <v>2013</v>
      </c>
      <c r="F190" s="1" t="s">
        <v>291</v>
      </c>
      <c r="G190" s="1" t="s">
        <v>113</v>
      </c>
      <c r="H190" s="1" t="s">
        <v>222</v>
      </c>
      <c r="I190" s="1" t="s">
        <v>110</v>
      </c>
      <c r="J190" s="1">
        <f>5/8</f>
        <v>0.625</v>
      </c>
      <c r="K190" s="1" t="s">
        <v>171</v>
      </c>
      <c r="L190" s="1" t="s">
        <v>85</v>
      </c>
      <c r="M190" s="1" t="s">
        <v>85</v>
      </c>
      <c r="N190" s="1">
        <v>7.43</v>
      </c>
      <c r="O190" s="1" t="s">
        <v>164</v>
      </c>
    </row>
    <row r="191" spans="1:15" x14ac:dyDescent="0.35">
      <c r="A191" s="1" t="s">
        <v>125</v>
      </c>
      <c r="B191" s="1" t="s">
        <v>126</v>
      </c>
      <c r="C191" s="1" t="s">
        <v>85</v>
      </c>
      <c r="D191" s="1">
        <v>2013</v>
      </c>
      <c r="E191" s="1">
        <v>2013</v>
      </c>
      <c r="F191" s="1" t="s">
        <v>291</v>
      </c>
      <c r="G191" s="1" t="s">
        <v>113</v>
      </c>
      <c r="H191" s="1" t="s">
        <v>222</v>
      </c>
      <c r="I191" s="1" t="s">
        <v>110</v>
      </c>
      <c r="J191" s="1">
        <v>0.75</v>
      </c>
      <c r="K191" s="1" t="s">
        <v>171</v>
      </c>
      <c r="L191" s="1" t="s">
        <v>85</v>
      </c>
      <c r="M191" s="1" t="s">
        <v>85</v>
      </c>
      <c r="N191" s="1">
        <v>7.43</v>
      </c>
      <c r="O191" s="1" t="s">
        <v>164</v>
      </c>
    </row>
    <row r="192" spans="1:15" x14ac:dyDescent="0.35">
      <c r="A192" s="1" t="s">
        <v>125</v>
      </c>
      <c r="B192" s="1" t="s">
        <v>126</v>
      </c>
      <c r="C192" s="1" t="s">
        <v>85</v>
      </c>
      <c r="D192" s="1">
        <v>2013</v>
      </c>
      <c r="E192" s="1">
        <v>2013</v>
      </c>
      <c r="F192" s="1" t="s">
        <v>291</v>
      </c>
      <c r="G192" s="1" t="s">
        <v>113</v>
      </c>
      <c r="H192" s="1" t="s">
        <v>222</v>
      </c>
      <c r="I192" s="1" t="s">
        <v>110</v>
      </c>
      <c r="J192" s="1">
        <v>1</v>
      </c>
      <c r="K192" s="1" t="s">
        <v>171</v>
      </c>
      <c r="L192" s="1" t="s">
        <v>85</v>
      </c>
      <c r="M192" s="1" t="s">
        <v>85</v>
      </c>
      <c r="N192" s="1">
        <v>29.15</v>
      </c>
      <c r="O192" s="1" t="s">
        <v>164</v>
      </c>
    </row>
    <row r="193" spans="1:15" x14ac:dyDescent="0.35">
      <c r="A193" s="1" t="s">
        <v>125</v>
      </c>
      <c r="B193" s="1" t="s">
        <v>126</v>
      </c>
      <c r="C193" s="1" t="s">
        <v>85</v>
      </c>
      <c r="D193" s="1">
        <v>2013</v>
      </c>
      <c r="E193" s="1">
        <v>2013</v>
      </c>
      <c r="F193" s="1" t="s">
        <v>291</v>
      </c>
      <c r="G193" s="1" t="s">
        <v>113</v>
      </c>
      <c r="H193" s="1" t="s">
        <v>222</v>
      </c>
      <c r="I193" s="1" t="s">
        <v>110</v>
      </c>
      <c r="J193" s="1">
        <v>1.25</v>
      </c>
      <c r="K193" s="1" t="s">
        <v>171</v>
      </c>
      <c r="L193" s="1" t="s">
        <v>85</v>
      </c>
      <c r="M193" s="1" t="s">
        <v>85</v>
      </c>
      <c r="N193" s="1">
        <v>45.64</v>
      </c>
      <c r="O193" s="1" t="s">
        <v>164</v>
      </c>
    </row>
    <row r="194" spans="1:15" x14ac:dyDescent="0.35">
      <c r="A194" s="1" t="s">
        <v>125</v>
      </c>
      <c r="B194" s="1" t="s">
        <v>126</v>
      </c>
      <c r="C194" s="1" t="s">
        <v>85</v>
      </c>
      <c r="D194" s="1">
        <v>2013</v>
      </c>
      <c r="E194" s="1">
        <v>2013</v>
      </c>
      <c r="F194" s="1" t="s">
        <v>291</v>
      </c>
      <c r="G194" s="1" t="s">
        <v>113</v>
      </c>
      <c r="H194" s="1" t="s">
        <v>222</v>
      </c>
      <c r="I194" s="1" t="s">
        <v>110</v>
      </c>
      <c r="J194" s="1">
        <v>1.5</v>
      </c>
      <c r="K194" s="1" t="s">
        <v>171</v>
      </c>
      <c r="L194" s="1" t="s">
        <v>85</v>
      </c>
      <c r="M194" s="1" t="s">
        <v>85</v>
      </c>
      <c r="N194" s="1">
        <v>52.19</v>
      </c>
      <c r="O194" s="1" t="s">
        <v>164</v>
      </c>
    </row>
    <row r="195" spans="1:15" x14ac:dyDescent="0.35">
      <c r="A195" s="1" t="s">
        <v>125</v>
      </c>
      <c r="B195" s="1" t="s">
        <v>126</v>
      </c>
      <c r="C195" s="1" t="s">
        <v>85</v>
      </c>
      <c r="D195" s="1">
        <v>2013</v>
      </c>
      <c r="E195" s="1">
        <v>2013</v>
      </c>
      <c r="F195" s="1" t="s">
        <v>291</v>
      </c>
      <c r="G195" s="1" t="s">
        <v>113</v>
      </c>
      <c r="H195" s="1" t="s">
        <v>222</v>
      </c>
      <c r="I195" s="1" t="s">
        <v>110</v>
      </c>
      <c r="J195" s="1">
        <v>2</v>
      </c>
      <c r="K195" s="1" t="s">
        <v>171</v>
      </c>
      <c r="L195" s="1" t="s">
        <v>85</v>
      </c>
      <c r="M195" s="1" t="s">
        <v>85</v>
      </c>
      <c r="N195" s="1">
        <v>85.97</v>
      </c>
      <c r="O195" s="1" t="s">
        <v>164</v>
      </c>
    </row>
    <row r="196" spans="1:15" x14ac:dyDescent="0.35">
      <c r="A196" s="1" t="s">
        <v>125</v>
      </c>
      <c r="B196" s="1" t="s">
        <v>126</v>
      </c>
      <c r="C196" s="1" t="s">
        <v>85</v>
      </c>
      <c r="D196" s="1">
        <v>2013</v>
      </c>
      <c r="E196" s="1">
        <v>2013</v>
      </c>
      <c r="F196" s="1" t="s">
        <v>291</v>
      </c>
      <c r="G196" s="1" t="s">
        <v>113</v>
      </c>
      <c r="H196" s="1" t="s">
        <v>222</v>
      </c>
      <c r="I196" s="1" t="s">
        <v>110</v>
      </c>
      <c r="J196" s="1">
        <v>3</v>
      </c>
      <c r="K196" s="1" t="s">
        <v>171</v>
      </c>
      <c r="L196" s="1" t="s">
        <v>85</v>
      </c>
      <c r="M196" s="1" t="s">
        <v>85</v>
      </c>
      <c r="N196" s="1">
        <v>167.58</v>
      </c>
      <c r="O196" s="1" t="s">
        <v>164</v>
      </c>
    </row>
    <row r="197" spans="1:15" x14ac:dyDescent="0.35">
      <c r="A197" s="1" t="s">
        <v>125</v>
      </c>
      <c r="B197" s="1" t="s">
        <v>126</v>
      </c>
      <c r="C197" s="1" t="s">
        <v>85</v>
      </c>
      <c r="D197" s="1">
        <v>2013</v>
      </c>
      <c r="E197" s="1">
        <v>2013</v>
      </c>
      <c r="F197" s="1" t="s">
        <v>291</v>
      </c>
      <c r="G197" s="1" t="s">
        <v>113</v>
      </c>
      <c r="H197" s="1" t="s">
        <v>222</v>
      </c>
      <c r="I197" s="1" t="s">
        <v>110</v>
      </c>
      <c r="J197" s="1">
        <v>4</v>
      </c>
      <c r="K197" s="1" t="s">
        <v>171</v>
      </c>
      <c r="L197" s="1" t="s">
        <v>85</v>
      </c>
      <c r="M197" s="1" t="s">
        <v>85</v>
      </c>
      <c r="N197" s="1">
        <v>207.92</v>
      </c>
      <c r="O197" s="1" t="s">
        <v>164</v>
      </c>
    </row>
    <row r="198" spans="1:15" x14ac:dyDescent="0.35">
      <c r="A198" s="1" t="s">
        <v>125</v>
      </c>
      <c r="B198" s="1" t="s">
        <v>126</v>
      </c>
      <c r="C198" s="1" t="s">
        <v>85</v>
      </c>
      <c r="D198" s="1">
        <v>2013</v>
      </c>
      <c r="E198" s="1">
        <v>2013</v>
      </c>
      <c r="F198" s="1" t="s">
        <v>291</v>
      </c>
      <c r="G198" s="1" t="s">
        <v>113</v>
      </c>
      <c r="H198" s="1" t="s">
        <v>222</v>
      </c>
      <c r="I198" s="1" t="s">
        <v>110</v>
      </c>
      <c r="J198" s="1">
        <v>6</v>
      </c>
      <c r="K198" s="1" t="s">
        <v>171</v>
      </c>
      <c r="L198" s="1" t="s">
        <v>85</v>
      </c>
      <c r="M198" s="1" t="s">
        <v>85</v>
      </c>
      <c r="N198" s="1">
        <v>410.57</v>
      </c>
      <c r="O198" s="1" t="s">
        <v>164</v>
      </c>
    </row>
    <row r="199" spans="1:15" x14ac:dyDescent="0.35">
      <c r="A199" s="1" t="s">
        <v>125</v>
      </c>
      <c r="B199" s="1" t="s">
        <v>126</v>
      </c>
      <c r="C199" s="1" t="s">
        <v>85</v>
      </c>
      <c r="D199" s="1">
        <v>2013</v>
      </c>
      <c r="E199" s="1">
        <v>2013</v>
      </c>
      <c r="F199" s="1" t="s">
        <v>291</v>
      </c>
      <c r="G199" s="1" t="s">
        <v>113</v>
      </c>
      <c r="H199" s="1" t="s">
        <v>222</v>
      </c>
      <c r="I199" s="1" t="s">
        <v>110</v>
      </c>
      <c r="J199" s="1">
        <v>8</v>
      </c>
      <c r="K199" s="1" t="s">
        <v>171</v>
      </c>
      <c r="L199" s="1" t="s">
        <v>85</v>
      </c>
      <c r="M199" s="1" t="s">
        <v>85</v>
      </c>
      <c r="N199" s="1">
        <v>1022.05</v>
      </c>
      <c r="O199" s="1" t="s">
        <v>164</v>
      </c>
    </row>
    <row r="200" spans="1:15" x14ac:dyDescent="0.35">
      <c r="A200" s="1" t="s">
        <v>125</v>
      </c>
      <c r="B200" s="1" t="s">
        <v>126</v>
      </c>
      <c r="C200" s="1" t="s">
        <v>85</v>
      </c>
      <c r="D200" s="1">
        <v>2013</v>
      </c>
      <c r="E200" s="1">
        <v>2013</v>
      </c>
      <c r="F200" s="1" t="s">
        <v>291</v>
      </c>
      <c r="G200" s="1" t="s">
        <v>113</v>
      </c>
      <c r="H200" s="1" t="s">
        <v>109</v>
      </c>
      <c r="I200" s="1" t="s">
        <v>110</v>
      </c>
      <c r="J200" s="1">
        <v>10</v>
      </c>
      <c r="K200" s="1" t="s">
        <v>171</v>
      </c>
      <c r="L200" s="1" t="s">
        <v>85</v>
      </c>
      <c r="M200" s="1" t="s">
        <v>85</v>
      </c>
      <c r="N200" s="1">
        <v>1592.3</v>
      </c>
      <c r="O200" s="1" t="s">
        <v>164</v>
      </c>
    </row>
    <row r="201" spans="1:15" x14ac:dyDescent="0.35">
      <c r="A201" s="1" t="s">
        <v>125</v>
      </c>
      <c r="B201" s="1" t="s">
        <v>126</v>
      </c>
      <c r="C201" s="1" t="s">
        <v>85</v>
      </c>
      <c r="D201" s="1">
        <v>2013</v>
      </c>
      <c r="E201" s="1">
        <v>2013</v>
      </c>
      <c r="F201" s="1" t="s">
        <v>292</v>
      </c>
      <c r="G201" s="1" t="s">
        <v>113</v>
      </c>
      <c r="H201" s="1" t="s">
        <v>109</v>
      </c>
      <c r="I201" s="1" t="s">
        <v>110</v>
      </c>
      <c r="J201" s="1">
        <f>5/8</f>
        <v>0.625</v>
      </c>
      <c r="K201" s="1" t="s">
        <v>171</v>
      </c>
      <c r="L201" s="1" t="s">
        <v>85</v>
      </c>
      <c r="M201" s="1" t="s">
        <v>85</v>
      </c>
      <c r="N201" s="1">
        <v>13.5</v>
      </c>
      <c r="O201" s="1" t="s">
        <v>164</v>
      </c>
    </row>
    <row r="202" spans="1:15" x14ac:dyDescent="0.35">
      <c r="A202" s="1" t="s">
        <v>125</v>
      </c>
      <c r="B202" s="1" t="s">
        <v>126</v>
      </c>
      <c r="C202" s="1" t="s">
        <v>85</v>
      </c>
      <c r="D202" s="1">
        <v>2013</v>
      </c>
      <c r="E202" s="1">
        <v>2013</v>
      </c>
      <c r="F202" s="1" t="s">
        <v>292</v>
      </c>
      <c r="G202" s="1" t="s">
        <v>113</v>
      </c>
      <c r="H202" s="1" t="s">
        <v>109</v>
      </c>
      <c r="I202" s="1" t="s">
        <v>110</v>
      </c>
      <c r="J202" s="1">
        <v>0.75</v>
      </c>
      <c r="K202" s="1" t="s">
        <v>171</v>
      </c>
      <c r="L202" s="1" t="s">
        <v>85</v>
      </c>
      <c r="M202" s="1" t="s">
        <v>85</v>
      </c>
      <c r="N202" s="1">
        <v>26.44</v>
      </c>
      <c r="O202" s="1" t="s">
        <v>164</v>
      </c>
    </row>
    <row r="203" spans="1:15" x14ac:dyDescent="0.35">
      <c r="A203" s="1" t="s">
        <v>125</v>
      </c>
      <c r="B203" s="1" t="s">
        <v>126</v>
      </c>
      <c r="C203" s="1" t="s">
        <v>85</v>
      </c>
      <c r="D203" s="1">
        <v>2013</v>
      </c>
      <c r="E203" s="1">
        <v>2013</v>
      </c>
      <c r="F203" s="1" t="s">
        <v>292</v>
      </c>
      <c r="G203" s="1" t="s">
        <v>113</v>
      </c>
      <c r="H203" s="1" t="s">
        <v>109</v>
      </c>
      <c r="I203" s="1" t="s">
        <v>110</v>
      </c>
      <c r="J203" s="1">
        <v>1</v>
      </c>
      <c r="K203" s="1" t="s">
        <v>171</v>
      </c>
      <c r="L203" s="1" t="s">
        <v>85</v>
      </c>
      <c r="M203" s="1" t="s">
        <v>85</v>
      </c>
      <c r="N203" s="1">
        <v>44.63</v>
      </c>
      <c r="O203" s="1" t="s">
        <v>164</v>
      </c>
    </row>
    <row r="204" spans="1:15" x14ac:dyDescent="0.35">
      <c r="A204" s="1" t="s">
        <v>125</v>
      </c>
      <c r="B204" s="1" t="s">
        <v>126</v>
      </c>
      <c r="C204" s="1" t="s">
        <v>85</v>
      </c>
      <c r="D204" s="1">
        <v>2013</v>
      </c>
      <c r="E204" s="1">
        <v>2013</v>
      </c>
      <c r="F204" s="1" t="s">
        <v>292</v>
      </c>
      <c r="G204" s="1" t="s">
        <v>113</v>
      </c>
      <c r="H204" s="1" t="s">
        <v>109</v>
      </c>
      <c r="I204" s="1" t="s">
        <v>110</v>
      </c>
      <c r="J204" s="1">
        <v>1.25</v>
      </c>
      <c r="K204" s="1" t="s">
        <v>171</v>
      </c>
      <c r="L204" s="1" t="s">
        <v>85</v>
      </c>
      <c r="M204" s="1" t="s">
        <v>85</v>
      </c>
      <c r="N204" s="1">
        <v>69.88</v>
      </c>
      <c r="O204" s="1" t="s">
        <v>164</v>
      </c>
    </row>
    <row r="205" spans="1:15" x14ac:dyDescent="0.35">
      <c r="A205" s="1" t="s">
        <v>125</v>
      </c>
      <c r="B205" s="1" t="s">
        <v>126</v>
      </c>
      <c r="C205" s="1" t="s">
        <v>85</v>
      </c>
      <c r="D205" s="1">
        <v>2013</v>
      </c>
      <c r="E205" s="1">
        <v>2013</v>
      </c>
      <c r="F205" s="1" t="s">
        <v>292</v>
      </c>
      <c r="G205" s="1" t="s">
        <v>113</v>
      </c>
      <c r="H205" s="1" t="s">
        <v>109</v>
      </c>
      <c r="I205" s="1" t="s">
        <v>110</v>
      </c>
      <c r="J205" s="1">
        <v>1.5</v>
      </c>
      <c r="K205" s="1" t="s">
        <v>171</v>
      </c>
      <c r="L205" s="1" t="s">
        <v>85</v>
      </c>
      <c r="M205" s="1" t="s">
        <v>85</v>
      </c>
      <c r="N205" s="1">
        <v>79.930000000000007</v>
      </c>
      <c r="O205" s="1" t="s">
        <v>164</v>
      </c>
    </row>
    <row r="206" spans="1:15" x14ac:dyDescent="0.35">
      <c r="A206" s="1" t="s">
        <v>125</v>
      </c>
      <c r="B206" s="1" t="s">
        <v>126</v>
      </c>
      <c r="C206" s="1" t="s">
        <v>85</v>
      </c>
      <c r="D206" s="1">
        <v>2013</v>
      </c>
      <c r="E206" s="1">
        <v>2013</v>
      </c>
      <c r="F206" s="1" t="s">
        <v>292</v>
      </c>
      <c r="G206" s="1" t="s">
        <v>113</v>
      </c>
      <c r="H206" s="1" t="s">
        <v>109</v>
      </c>
      <c r="I206" s="1" t="s">
        <v>110</v>
      </c>
      <c r="J206" s="1">
        <v>2</v>
      </c>
      <c r="K206" s="1" t="s">
        <v>171</v>
      </c>
      <c r="L206" s="1" t="s">
        <v>85</v>
      </c>
      <c r="M206" s="1" t="s">
        <v>85</v>
      </c>
      <c r="N206" s="1">
        <v>131.69</v>
      </c>
      <c r="O206" s="1" t="s">
        <v>164</v>
      </c>
    </row>
    <row r="207" spans="1:15" x14ac:dyDescent="0.35">
      <c r="A207" s="1" t="s">
        <v>125</v>
      </c>
      <c r="B207" s="1" t="s">
        <v>126</v>
      </c>
      <c r="C207" s="1" t="s">
        <v>85</v>
      </c>
      <c r="D207" s="1">
        <v>2013</v>
      </c>
      <c r="E207" s="1">
        <v>2013</v>
      </c>
      <c r="F207" s="1" t="s">
        <v>292</v>
      </c>
      <c r="G207" s="1" t="s">
        <v>113</v>
      </c>
      <c r="H207" s="1" t="s">
        <v>109</v>
      </c>
      <c r="I207" s="1" t="s">
        <v>110</v>
      </c>
      <c r="J207" s="1">
        <v>3</v>
      </c>
      <c r="K207" s="1" t="s">
        <v>171</v>
      </c>
      <c r="L207" s="1" t="s">
        <v>85</v>
      </c>
      <c r="M207" s="1" t="s">
        <v>85</v>
      </c>
      <c r="N207" s="1">
        <v>256.64999999999998</v>
      </c>
      <c r="O207" s="1" t="s">
        <v>164</v>
      </c>
    </row>
    <row r="208" spans="1:15" x14ac:dyDescent="0.35">
      <c r="A208" s="1" t="s">
        <v>125</v>
      </c>
      <c r="B208" s="1" t="s">
        <v>126</v>
      </c>
      <c r="C208" s="1" t="s">
        <v>85</v>
      </c>
      <c r="D208" s="1">
        <v>2013</v>
      </c>
      <c r="E208" s="1">
        <v>2013</v>
      </c>
      <c r="F208" s="1" t="s">
        <v>292</v>
      </c>
      <c r="G208" s="1" t="s">
        <v>113</v>
      </c>
      <c r="H208" s="1" t="s">
        <v>109</v>
      </c>
      <c r="I208" s="1" t="s">
        <v>110</v>
      </c>
      <c r="J208" s="1">
        <v>4</v>
      </c>
      <c r="K208" s="1" t="s">
        <v>171</v>
      </c>
      <c r="L208" s="1" t="s">
        <v>85</v>
      </c>
      <c r="M208" s="1" t="s">
        <v>85</v>
      </c>
      <c r="N208" s="1">
        <v>318.47000000000003</v>
      </c>
      <c r="O208" s="1" t="s">
        <v>164</v>
      </c>
    </row>
    <row r="209" spans="1:15" x14ac:dyDescent="0.35">
      <c r="A209" s="1" t="s">
        <v>125</v>
      </c>
      <c r="B209" s="1" t="s">
        <v>126</v>
      </c>
      <c r="C209" s="1" t="s">
        <v>85</v>
      </c>
      <c r="D209" s="1">
        <v>2013</v>
      </c>
      <c r="E209" s="1">
        <v>2013</v>
      </c>
      <c r="F209" s="1" t="s">
        <v>292</v>
      </c>
      <c r="G209" s="1" t="s">
        <v>113</v>
      </c>
      <c r="H209" s="1" t="s">
        <v>109</v>
      </c>
      <c r="I209" s="1" t="s">
        <v>110</v>
      </c>
      <c r="J209" s="1">
        <v>6</v>
      </c>
      <c r="K209" s="1" t="s">
        <v>171</v>
      </c>
      <c r="L209" s="1" t="s">
        <v>85</v>
      </c>
      <c r="M209" s="1" t="s">
        <v>85</v>
      </c>
      <c r="N209" s="1">
        <v>628.82000000000005</v>
      </c>
      <c r="O209" s="1" t="s">
        <v>164</v>
      </c>
    </row>
    <row r="210" spans="1:15" x14ac:dyDescent="0.35">
      <c r="A210" s="1" t="s">
        <v>125</v>
      </c>
      <c r="B210" s="1" t="s">
        <v>126</v>
      </c>
      <c r="C210" s="1" t="s">
        <v>85</v>
      </c>
      <c r="D210" s="1">
        <v>2013</v>
      </c>
      <c r="E210" s="1">
        <v>2013</v>
      </c>
      <c r="F210" s="1" t="s">
        <v>292</v>
      </c>
      <c r="G210" s="1" t="s">
        <v>113</v>
      </c>
      <c r="H210" s="1" t="s">
        <v>109</v>
      </c>
      <c r="I210" s="1" t="s">
        <v>110</v>
      </c>
      <c r="J210" s="1">
        <v>8</v>
      </c>
      <c r="K210" s="1" t="s">
        <v>171</v>
      </c>
      <c r="L210" s="1" t="s">
        <v>85</v>
      </c>
      <c r="M210" s="1" t="s">
        <v>85</v>
      </c>
      <c r="N210" s="1">
        <v>1565.45</v>
      </c>
      <c r="O210" s="1" t="s">
        <v>164</v>
      </c>
    </row>
    <row r="211" spans="1:15" x14ac:dyDescent="0.35">
      <c r="A211" s="1" t="s">
        <v>125</v>
      </c>
      <c r="B211" s="1" t="s">
        <v>126</v>
      </c>
      <c r="C211" s="1" t="s">
        <v>85</v>
      </c>
      <c r="D211" s="1">
        <v>2013</v>
      </c>
      <c r="E211" s="1">
        <v>2013</v>
      </c>
      <c r="F211" s="1" t="s">
        <v>292</v>
      </c>
      <c r="G211" s="1" t="s">
        <v>113</v>
      </c>
      <c r="H211" s="1" t="s">
        <v>109</v>
      </c>
      <c r="I211" s="1" t="s">
        <v>110</v>
      </c>
      <c r="J211" s="1">
        <v>10</v>
      </c>
      <c r="K211" s="1" t="s">
        <v>171</v>
      </c>
      <c r="L211" s="1" t="s">
        <v>85</v>
      </c>
      <c r="M211" s="1" t="s">
        <v>85</v>
      </c>
      <c r="N211" s="1">
        <v>2438.85</v>
      </c>
      <c r="O211" s="1" t="s">
        <v>164</v>
      </c>
    </row>
    <row r="212" spans="1:15" x14ac:dyDescent="0.35">
      <c r="A212" s="1" t="s">
        <v>125</v>
      </c>
      <c r="B212" s="1" t="s">
        <v>126</v>
      </c>
      <c r="C212" s="1" t="s">
        <v>85</v>
      </c>
      <c r="D212" s="1">
        <v>2013</v>
      </c>
      <c r="E212" s="1">
        <v>2013</v>
      </c>
      <c r="F212" s="1" t="s">
        <v>103</v>
      </c>
      <c r="G212" s="1" t="s">
        <v>113</v>
      </c>
      <c r="H212" s="1" t="s">
        <v>111</v>
      </c>
      <c r="I212" s="1" t="s">
        <v>294</v>
      </c>
      <c r="J212" s="1" t="s">
        <v>85</v>
      </c>
      <c r="K212" s="1" t="s">
        <v>85</v>
      </c>
      <c r="L212" s="1" t="s">
        <v>85</v>
      </c>
      <c r="M212" s="1" t="s">
        <v>85</v>
      </c>
      <c r="N212" s="1">
        <v>5.39</v>
      </c>
      <c r="O212" s="1" t="s">
        <v>172</v>
      </c>
    </row>
    <row r="213" spans="1:15" x14ac:dyDescent="0.35">
      <c r="A213" s="1" t="s">
        <v>125</v>
      </c>
      <c r="B213" s="1" t="s">
        <v>126</v>
      </c>
      <c r="C213" s="1" t="s">
        <v>85</v>
      </c>
      <c r="D213" s="1">
        <v>2013</v>
      </c>
      <c r="E213" s="1">
        <v>2013</v>
      </c>
      <c r="F213" s="1" t="s">
        <v>292</v>
      </c>
      <c r="G213" s="1" t="s">
        <v>113</v>
      </c>
      <c r="H213" s="1" t="s">
        <v>111</v>
      </c>
      <c r="I213" s="1" t="s">
        <v>294</v>
      </c>
      <c r="J213" s="1" t="s">
        <v>85</v>
      </c>
      <c r="K213" s="1" t="s">
        <v>85</v>
      </c>
      <c r="L213" s="1" t="s">
        <v>85</v>
      </c>
      <c r="M213" s="1" t="s">
        <v>85</v>
      </c>
      <c r="N213" s="1">
        <v>7.15</v>
      </c>
      <c r="O213" s="1" t="s">
        <v>172</v>
      </c>
    </row>
    <row r="214" spans="1:15" x14ac:dyDescent="0.35">
      <c r="A214" s="1" t="s">
        <v>125</v>
      </c>
      <c r="B214" s="1" t="s">
        <v>126</v>
      </c>
      <c r="C214" s="1" t="s">
        <v>85</v>
      </c>
      <c r="D214" s="1">
        <v>2013</v>
      </c>
      <c r="E214" s="1">
        <v>2013</v>
      </c>
      <c r="F214" s="1" t="s">
        <v>103</v>
      </c>
      <c r="G214" s="1" t="s">
        <v>113</v>
      </c>
      <c r="H214" s="1" t="s">
        <v>111</v>
      </c>
      <c r="I214" s="1" t="s">
        <v>293</v>
      </c>
      <c r="J214" s="1">
        <v>750000</v>
      </c>
      <c r="K214" s="1" t="s">
        <v>112</v>
      </c>
      <c r="L214" s="1" t="s">
        <v>85</v>
      </c>
      <c r="M214" s="1" t="s">
        <v>85</v>
      </c>
      <c r="N214" s="1">
        <v>6.5780000000000003</v>
      </c>
      <c r="O214" s="1" t="s">
        <v>172</v>
      </c>
    </row>
    <row r="215" spans="1:15" x14ac:dyDescent="0.35">
      <c r="A215" s="1" t="s">
        <v>125</v>
      </c>
      <c r="B215" s="1" t="s">
        <v>126</v>
      </c>
      <c r="C215" s="1" t="s">
        <v>85</v>
      </c>
      <c r="D215" s="1">
        <v>2013</v>
      </c>
      <c r="E215" s="1">
        <v>2013</v>
      </c>
      <c r="F215" s="1" t="s">
        <v>103</v>
      </c>
      <c r="G215" s="1" t="s">
        <v>113</v>
      </c>
      <c r="H215" s="1" t="s">
        <v>111</v>
      </c>
      <c r="I215" s="1" t="s">
        <v>293</v>
      </c>
      <c r="J215" s="1">
        <v>3750000</v>
      </c>
      <c r="K215" s="1" t="s">
        <v>112</v>
      </c>
      <c r="L215" s="1" t="s">
        <v>85</v>
      </c>
      <c r="M215" s="1" t="s">
        <v>85</v>
      </c>
      <c r="N215" s="1">
        <v>5.75</v>
      </c>
      <c r="O215" s="1" t="s">
        <v>172</v>
      </c>
    </row>
    <row r="216" spans="1:15" x14ac:dyDescent="0.35">
      <c r="A216" s="1" t="s">
        <v>125</v>
      </c>
      <c r="B216" s="1" t="s">
        <v>126</v>
      </c>
      <c r="C216" s="1" t="s">
        <v>85</v>
      </c>
      <c r="D216" s="1">
        <v>2013</v>
      </c>
      <c r="E216" s="1">
        <v>2013</v>
      </c>
      <c r="F216" s="1" t="s">
        <v>103</v>
      </c>
      <c r="G216" s="1" t="s">
        <v>113</v>
      </c>
      <c r="H216" s="1" t="s">
        <v>111</v>
      </c>
      <c r="I216" s="1" t="s">
        <v>293</v>
      </c>
      <c r="J216" s="1" t="s">
        <v>174</v>
      </c>
      <c r="K216" s="1" t="s">
        <v>112</v>
      </c>
      <c r="L216" s="1" t="s">
        <v>85</v>
      </c>
      <c r="M216" s="1" t="s">
        <v>85</v>
      </c>
      <c r="N216" s="1">
        <v>4.8600000000000003</v>
      </c>
      <c r="O216" s="1" t="s">
        <v>172</v>
      </c>
    </row>
    <row r="217" spans="1:15" x14ac:dyDescent="0.35">
      <c r="A217" s="1" t="s">
        <v>125</v>
      </c>
      <c r="B217" s="1" t="s">
        <v>126</v>
      </c>
      <c r="C217" s="1" t="s">
        <v>85</v>
      </c>
      <c r="D217" s="1">
        <v>2013</v>
      </c>
      <c r="E217" s="1">
        <v>2013</v>
      </c>
      <c r="F217" s="1" t="s">
        <v>292</v>
      </c>
      <c r="G217" s="1" t="s">
        <v>113</v>
      </c>
      <c r="H217" s="1" t="s">
        <v>111</v>
      </c>
      <c r="I217" s="1" t="s">
        <v>293</v>
      </c>
      <c r="J217" s="1">
        <v>750000</v>
      </c>
      <c r="K217" s="1" t="s">
        <v>112</v>
      </c>
      <c r="L217" s="1" t="s">
        <v>85</v>
      </c>
      <c r="M217" s="1" t="s">
        <v>85</v>
      </c>
      <c r="N217" s="1">
        <v>8.8000000000000007</v>
      </c>
      <c r="O217" s="1" t="s">
        <v>172</v>
      </c>
    </row>
    <row r="218" spans="1:15" x14ac:dyDescent="0.35">
      <c r="A218" s="1" t="s">
        <v>125</v>
      </c>
      <c r="B218" s="1" t="s">
        <v>126</v>
      </c>
      <c r="C218" s="1" t="s">
        <v>85</v>
      </c>
      <c r="D218" s="1">
        <v>2013</v>
      </c>
      <c r="E218" s="1">
        <v>2013</v>
      </c>
      <c r="F218" s="1" t="s">
        <v>292</v>
      </c>
      <c r="G218" s="1" t="s">
        <v>113</v>
      </c>
      <c r="H218" s="1" t="s">
        <v>111</v>
      </c>
      <c r="I218" s="1" t="s">
        <v>293</v>
      </c>
      <c r="J218" s="1">
        <v>3750000</v>
      </c>
      <c r="K218" s="1" t="s">
        <v>112</v>
      </c>
      <c r="L218" s="1" t="s">
        <v>85</v>
      </c>
      <c r="M218" s="1" t="s">
        <v>85</v>
      </c>
      <c r="N218" s="1">
        <v>7.69</v>
      </c>
      <c r="O218" s="1" t="s">
        <v>172</v>
      </c>
    </row>
    <row r="219" spans="1:15" x14ac:dyDescent="0.35">
      <c r="A219" s="1" t="s">
        <v>125</v>
      </c>
      <c r="B219" s="1" t="s">
        <v>126</v>
      </c>
      <c r="C219" s="1" t="s">
        <v>85</v>
      </c>
      <c r="D219" s="1">
        <v>2013</v>
      </c>
      <c r="E219" s="1">
        <v>2013</v>
      </c>
      <c r="F219" s="1" t="s">
        <v>292</v>
      </c>
      <c r="G219" s="1" t="s">
        <v>113</v>
      </c>
      <c r="H219" s="1" t="s">
        <v>111</v>
      </c>
      <c r="I219" s="1" t="s">
        <v>293</v>
      </c>
      <c r="J219" s="1" t="s">
        <v>174</v>
      </c>
      <c r="K219" s="1" t="s">
        <v>112</v>
      </c>
      <c r="L219" s="1" t="s">
        <v>85</v>
      </c>
      <c r="M219" s="1" t="s">
        <v>85</v>
      </c>
      <c r="N219" s="1">
        <v>6.48</v>
      </c>
      <c r="O219" s="1" t="s">
        <v>172</v>
      </c>
    </row>
    <row r="220" spans="1:15" x14ac:dyDescent="0.35">
      <c r="A220" s="1" t="s">
        <v>125</v>
      </c>
      <c r="B220" s="1" t="s">
        <v>126</v>
      </c>
      <c r="C220" s="1" t="s">
        <v>85</v>
      </c>
      <c r="D220" s="1">
        <v>2014</v>
      </c>
      <c r="E220" s="1">
        <v>2013</v>
      </c>
      <c r="F220" s="1" t="s">
        <v>103</v>
      </c>
      <c r="G220" s="1" t="s">
        <v>113</v>
      </c>
      <c r="H220" s="1" t="s">
        <v>109</v>
      </c>
      <c r="I220" s="1" t="s">
        <v>110</v>
      </c>
      <c r="J220" s="1">
        <f>5/8</f>
        <v>0.625</v>
      </c>
      <c r="K220" s="1" t="s">
        <v>171</v>
      </c>
      <c r="L220" s="1" t="s">
        <v>85</v>
      </c>
      <c r="M220" s="1" t="s">
        <v>85</v>
      </c>
      <c r="N220" s="1">
        <v>10.1</v>
      </c>
      <c r="O220" s="1" t="s">
        <v>164</v>
      </c>
    </row>
    <row r="221" spans="1:15" x14ac:dyDescent="0.35">
      <c r="A221" s="1" t="s">
        <v>125</v>
      </c>
      <c r="B221" s="1" t="s">
        <v>126</v>
      </c>
      <c r="C221" s="1" t="s">
        <v>85</v>
      </c>
      <c r="D221" s="1">
        <v>2014</v>
      </c>
      <c r="E221" s="1">
        <v>2013</v>
      </c>
      <c r="F221" s="1" t="s">
        <v>103</v>
      </c>
      <c r="G221" s="1" t="s">
        <v>113</v>
      </c>
      <c r="H221" s="1" t="s">
        <v>109</v>
      </c>
      <c r="I221" s="1" t="s">
        <v>110</v>
      </c>
      <c r="J221" s="1">
        <v>0.75</v>
      </c>
      <c r="K221" s="1" t="s">
        <v>171</v>
      </c>
      <c r="L221" s="1" t="s">
        <v>85</v>
      </c>
      <c r="M221" s="1" t="s">
        <v>85</v>
      </c>
      <c r="N221" s="1">
        <v>19.77</v>
      </c>
      <c r="O221" s="1" t="s">
        <v>164</v>
      </c>
    </row>
    <row r="222" spans="1:15" x14ac:dyDescent="0.35">
      <c r="A222" s="1" t="s">
        <v>125</v>
      </c>
      <c r="B222" s="1" t="s">
        <v>126</v>
      </c>
      <c r="C222" s="1" t="s">
        <v>85</v>
      </c>
      <c r="D222" s="1">
        <v>2014</v>
      </c>
      <c r="E222" s="1">
        <v>2013</v>
      </c>
      <c r="F222" s="1" t="s">
        <v>103</v>
      </c>
      <c r="G222" s="1" t="s">
        <v>113</v>
      </c>
      <c r="H222" s="1" t="s">
        <v>109</v>
      </c>
      <c r="I222" s="1" t="s">
        <v>110</v>
      </c>
      <c r="J222" s="1">
        <v>1</v>
      </c>
      <c r="K222" s="1" t="s">
        <v>171</v>
      </c>
      <c r="L222" s="1" t="s">
        <v>85</v>
      </c>
      <c r="M222" s="1" t="s">
        <v>85</v>
      </c>
      <c r="N222" s="1">
        <v>33.35</v>
      </c>
      <c r="O222" s="1" t="s">
        <v>164</v>
      </c>
    </row>
    <row r="223" spans="1:15" x14ac:dyDescent="0.35">
      <c r="A223" s="1" t="s">
        <v>125</v>
      </c>
      <c r="B223" s="1" t="s">
        <v>126</v>
      </c>
      <c r="C223" s="1" t="s">
        <v>85</v>
      </c>
      <c r="D223" s="1">
        <v>2014</v>
      </c>
      <c r="E223" s="1">
        <v>2013</v>
      </c>
      <c r="F223" s="1" t="s">
        <v>103</v>
      </c>
      <c r="G223" s="1" t="s">
        <v>113</v>
      </c>
      <c r="H223" s="1" t="s">
        <v>109</v>
      </c>
      <c r="I223" s="1" t="s">
        <v>110</v>
      </c>
      <c r="J223" s="1">
        <v>1.25</v>
      </c>
      <c r="K223" s="1" t="s">
        <v>171</v>
      </c>
      <c r="L223" s="1" t="s">
        <v>85</v>
      </c>
      <c r="M223" s="1" t="s">
        <v>85</v>
      </c>
      <c r="N223" s="1">
        <v>52.22</v>
      </c>
      <c r="O223" s="1" t="s">
        <v>164</v>
      </c>
    </row>
    <row r="224" spans="1:15" x14ac:dyDescent="0.35">
      <c r="A224" s="1" t="s">
        <v>125</v>
      </c>
      <c r="B224" s="1" t="s">
        <v>126</v>
      </c>
      <c r="C224" s="1" t="s">
        <v>85</v>
      </c>
      <c r="D224" s="1">
        <v>2014</v>
      </c>
      <c r="E224" s="1">
        <v>2013</v>
      </c>
      <c r="F224" s="1" t="s">
        <v>103</v>
      </c>
      <c r="G224" s="1" t="s">
        <v>113</v>
      </c>
      <c r="H224" s="1" t="s">
        <v>109</v>
      </c>
      <c r="I224" s="1" t="s">
        <v>110</v>
      </c>
      <c r="J224" s="1">
        <v>1.5</v>
      </c>
      <c r="K224" s="1" t="s">
        <v>171</v>
      </c>
      <c r="L224" s="1" t="s">
        <v>85</v>
      </c>
      <c r="M224" s="1" t="s">
        <v>85</v>
      </c>
      <c r="N224" s="1">
        <v>59.33</v>
      </c>
      <c r="O224" s="1" t="s">
        <v>164</v>
      </c>
    </row>
    <row r="225" spans="1:15" x14ac:dyDescent="0.35">
      <c r="A225" s="1" t="s">
        <v>125</v>
      </c>
      <c r="B225" s="1" t="s">
        <v>126</v>
      </c>
      <c r="C225" s="1" t="s">
        <v>85</v>
      </c>
      <c r="D225" s="1">
        <v>2014</v>
      </c>
      <c r="E225" s="1">
        <v>2013</v>
      </c>
      <c r="F225" s="1" t="s">
        <v>103</v>
      </c>
      <c r="G225" s="1" t="s">
        <v>113</v>
      </c>
      <c r="H225" s="1" t="s">
        <v>109</v>
      </c>
      <c r="I225" s="1" t="s">
        <v>110</v>
      </c>
      <c r="J225" s="1">
        <v>2</v>
      </c>
      <c r="K225" s="1" t="s">
        <v>171</v>
      </c>
      <c r="L225" s="1" t="s">
        <v>85</v>
      </c>
      <c r="M225" s="1" t="s">
        <v>85</v>
      </c>
      <c r="N225" s="1">
        <v>98.41</v>
      </c>
      <c r="O225" s="1" t="s">
        <v>164</v>
      </c>
    </row>
    <row r="226" spans="1:15" x14ac:dyDescent="0.35">
      <c r="A226" s="1" t="s">
        <v>125</v>
      </c>
      <c r="B226" s="1" t="s">
        <v>126</v>
      </c>
      <c r="C226" s="1" t="s">
        <v>85</v>
      </c>
      <c r="D226" s="1">
        <v>2014</v>
      </c>
      <c r="E226" s="1">
        <v>2013</v>
      </c>
      <c r="F226" s="1" t="s">
        <v>103</v>
      </c>
      <c r="G226" s="1" t="s">
        <v>113</v>
      </c>
      <c r="H226" s="1" t="s">
        <v>109</v>
      </c>
      <c r="I226" s="1" t="s">
        <v>110</v>
      </c>
      <c r="J226" s="1">
        <v>3</v>
      </c>
      <c r="K226" s="1" t="s">
        <v>171</v>
      </c>
      <c r="L226" s="1" t="s">
        <v>85</v>
      </c>
      <c r="M226" s="1" t="s">
        <v>85</v>
      </c>
      <c r="N226" s="1">
        <v>191.78</v>
      </c>
      <c r="O226" s="1" t="s">
        <v>164</v>
      </c>
    </row>
    <row r="227" spans="1:15" x14ac:dyDescent="0.35">
      <c r="A227" s="1" t="s">
        <v>125</v>
      </c>
      <c r="B227" s="1" t="s">
        <v>126</v>
      </c>
      <c r="C227" s="1" t="s">
        <v>85</v>
      </c>
      <c r="D227" s="1">
        <v>2014</v>
      </c>
      <c r="E227" s="1">
        <v>2013</v>
      </c>
      <c r="F227" s="1" t="s">
        <v>103</v>
      </c>
      <c r="G227" s="1" t="s">
        <v>113</v>
      </c>
      <c r="H227" s="1" t="s">
        <v>109</v>
      </c>
      <c r="I227" s="1" t="s">
        <v>110</v>
      </c>
      <c r="J227" s="1">
        <v>4</v>
      </c>
      <c r="K227" s="1" t="s">
        <v>171</v>
      </c>
      <c r="L227" s="1" t="s">
        <v>85</v>
      </c>
      <c r="M227" s="1" t="s">
        <v>85</v>
      </c>
      <c r="N227" s="1">
        <v>237.98</v>
      </c>
      <c r="O227" s="1" t="s">
        <v>164</v>
      </c>
    </row>
    <row r="228" spans="1:15" x14ac:dyDescent="0.35">
      <c r="A228" s="1" t="s">
        <v>125</v>
      </c>
      <c r="B228" s="1" t="s">
        <v>126</v>
      </c>
      <c r="C228" s="1" t="s">
        <v>85</v>
      </c>
      <c r="D228" s="1">
        <v>2014</v>
      </c>
      <c r="E228" s="1">
        <v>2013</v>
      </c>
      <c r="F228" s="1" t="s">
        <v>103</v>
      </c>
      <c r="G228" s="1" t="s">
        <v>113</v>
      </c>
      <c r="H228" s="1" t="s">
        <v>109</v>
      </c>
      <c r="I228" s="1" t="s">
        <v>110</v>
      </c>
      <c r="J228" s="1">
        <v>6</v>
      </c>
      <c r="K228" s="1" t="s">
        <v>171</v>
      </c>
      <c r="L228" s="1" t="s">
        <v>85</v>
      </c>
      <c r="M228" s="1" t="s">
        <v>85</v>
      </c>
      <c r="N228" s="1">
        <v>469.86</v>
      </c>
      <c r="O228" s="1" t="s">
        <v>164</v>
      </c>
    </row>
    <row r="229" spans="1:15" x14ac:dyDescent="0.35">
      <c r="A229" s="1" t="s">
        <v>125</v>
      </c>
      <c r="B229" s="1" t="s">
        <v>126</v>
      </c>
      <c r="C229" s="1" t="s">
        <v>85</v>
      </c>
      <c r="D229" s="1">
        <v>2014</v>
      </c>
      <c r="E229" s="1">
        <v>2013</v>
      </c>
      <c r="F229" s="1" t="s">
        <v>103</v>
      </c>
      <c r="G229" s="1" t="s">
        <v>113</v>
      </c>
      <c r="H229" s="1" t="s">
        <v>109</v>
      </c>
      <c r="I229" s="1" t="s">
        <v>110</v>
      </c>
      <c r="J229" s="1">
        <v>8</v>
      </c>
      <c r="K229" s="1" t="s">
        <v>171</v>
      </c>
      <c r="L229" s="1" t="s">
        <v>85</v>
      </c>
      <c r="M229" s="1" t="s">
        <v>85</v>
      </c>
      <c r="N229" s="1">
        <v>1169.71</v>
      </c>
      <c r="O229" s="1" t="s">
        <v>164</v>
      </c>
    </row>
    <row r="230" spans="1:15" x14ac:dyDescent="0.35">
      <c r="A230" s="1" t="s">
        <v>125</v>
      </c>
      <c r="B230" s="1" t="s">
        <v>126</v>
      </c>
      <c r="C230" s="1" t="s">
        <v>85</v>
      </c>
      <c r="D230" s="1">
        <v>2014</v>
      </c>
      <c r="E230" s="1">
        <v>2013</v>
      </c>
      <c r="F230" s="1" t="s">
        <v>103</v>
      </c>
      <c r="G230" s="1" t="s">
        <v>113</v>
      </c>
      <c r="H230" s="1" t="s">
        <v>109</v>
      </c>
      <c r="I230" s="1" t="s">
        <v>110</v>
      </c>
      <c r="J230" s="1">
        <v>10</v>
      </c>
      <c r="K230" s="1" t="s">
        <v>171</v>
      </c>
      <c r="L230" s="1" t="s">
        <v>85</v>
      </c>
      <c r="M230" s="1" t="s">
        <v>85</v>
      </c>
      <c r="N230" s="1">
        <v>1822.3</v>
      </c>
      <c r="O230" s="1" t="s">
        <v>164</v>
      </c>
    </row>
    <row r="231" spans="1:15" x14ac:dyDescent="0.35">
      <c r="A231" s="1" t="s">
        <v>125</v>
      </c>
      <c r="B231" s="1" t="s">
        <v>126</v>
      </c>
      <c r="C231" s="1" t="s">
        <v>85</v>
      </c>
      <c r="D231" s="1">
        <v>2014</v>
      </c>
      <c r="E231" s="1">
        <v>2013</v>
      </c>
      <c r="F231" s="1" t="s">
        <v>291</v>
      </c>
      <c r="G231" s="1" t="s">
        <v>113</v>
      </c>
      <c r="H231" s="1" t="s">
        <v>222</v>
      </c>
      <c r="I231" s="1" t="s">
        <v>110</v>
      </c>
      <c r="J231" s="1">
        <f>5/8</f>
        <v>0.625</v>
      </c>
      <c r="K231" s="1" t="s">
        <v>171</v>
      </c>
      <c r="L231" s="1" t="s">
        <v>85</v>
      </c>
      <c r="M231" s="1" t="s">
        <v>85</v>
      </c>
      <c r="N231" s="1">
        <v>7.43</v>
      </c>
      <c r="O231" s="1" t="s">
        <v>164</v>
      </c>
    </row>
    <row r="232" spans="1:15" x14ac:dyDescent="0.35">
      <c r="A232" s="1" t="s">
        <v>125</v>
      </c>
      <c r="B232" s="1" t="s">
        <v>126</v>
      </c>
      <c r="C232" s="1" t="s">
        <v>85</v>
      </c>
      <c r="D232" s="1">
        <v>2014</v>
      </c>
      <c r="E232" s="1">
        <v>2013</v>
      </c>
      <c r="F232" s="1" t="s">
        <v>291</v>
      </c>
      <c r="G232" s="1" t="s">
        <v>113</v>
      </c>
      <c r="H232" s="1" t="s">
        <v>222</v>
      </c>
      <c r="I232" s="1" t="s">
        <v>110</v>
      </c>
      <c r="J232" s="1">
        <v>0.75</v>
      </c>
      <c r="K232" s="1" t="s">
        <v>171</v>
      </c>
      <c r="L232" s="1" t="s">
        <v>85</v>
      </c>
      <c r="M232" s="1" t="s">
        <v>85</v>
      </c>
      <c r="N232" s="1">
        <v>7.43</v>
      </c>
      <c r="O232" s="1" t="s">
        <v>164</v>
      </c>
    </row>
    <row r="233" spans="1:15" x14ac:dyDescent="0.35">
      <c r="A233" s="1" t="s">
        <v>125</v>
      </c>
      <c r="B233" s="1" t="s">
        <v>126</v>
      </c>
      <c r="C233" s="1" t="s">
        <v>85</v>
      </c>
      <c r="D233" s="1">
        <v>2014</v>
      </c>
      <c r="E233" s="1">
        <v>2013</v>
      </c>
      <c r="F233" s="1" t="s">
        <v>291</v>
      </c>
      <c r="G233" s="1" t="s">
        <v>113</v>
      </c>
      <c r="H233" s="1" t="s">
        <v>222</v>
      </c>
      <c r="I233" s="1" t="s">
        <v>110</v>
      </c>
      <c r="J233" s="1">
        <v>1</v>
      </c>
      <c r="K233" s="1" t="s">
        <v>171</v>
      </c>
      <c r="L233" s="1" t="s">
        <v>85</v>
      </c>
      <c r="M233" s="1" t="s">
        <v>85</v>
      </c>
      <c r="N233" s="1">
        <v>29.15</v>
      </c>
      <c r="O233" s="1" t="s">
        <v>164</v>
      </c>
    </row>
    <row r="234" spans="1:15" x14ac:dyDescent="0.35">
      <c r="A234" s="1" t="s">
        <v>125</v>
      </c>
      <c r="B234" s="1" t="s">
        <v>126</v>
      </c>
      <c r="C234" s="1" t="s">
        <v>85</v>
      </c>
      <c r="D234" s="1">
        <v>2014</v>
      </c>
      <c r="E234" s="1">
        <v>2013</v>
      </c>
      <c r="F234" s="1" t="s">
        <v>291</v>
      </c>
      <c r="G234" s="1" t="s">
        <v>113</v>
      </c>
      <c r="H234" s="1" t="s">
        <v>222</v>
      </c>
      <c r="I234" s="1" t="s">
        <v>110</v>
      </c>
      <c r="J234" s="1">
        <v>1.25</v>
      </c>
      <c r="K234" s="1" t="s">
        <v>171</v>
      </c>
      <c r="L234" s="1" t="s">
        <v>85</v>
      </c>
      <c r="M234" s="1" t="s">
        <v>85</v>
      </c>
      <c r="N234" s="1">
        <v>45.64</v>
      </c>
      <c r="O234" s="1" t="s">
        <v>164</v>
      </c>
    </row>
    <row r="235" spans="1:15" x14ac:dyDescent="0.35">
      <c r="A235" s="1" t="s">
        <v>125</v>
      </c>
      <c r="B235" s="1" t="s">
        <v>126</v>
      </c>
      <c r="C235" s="1" t="s">
        <v>85</v>
      </c>
      <c r="D235" s="1">
        <v>2014</v>
      </c>
      <c r="E235" s="1">
        <v>2013</v>
      </c>
      <c r="F235" s="1" t="s">
        <v>291</v>
      </c>
      <c r="G235" s="1" t="s">
        <v>113</v>
      </c>
      <c r="H235" s="1" t="s">
        <v>222</v>
      </c>
      <c r="I235" s="1" t="s">
        <v>110</v>
      </c>
      <c r="J235" s="1">
        <v>1.5</v>
      </c>
      <c r="K235" s="1" t="s">
        <v>171</v>
      </c>
      <c r="L235" s="1" t="s">
        <v>85</v>
      </c>
      <c r="M235" s="1" t="s">
        <v>85</v>
      </c>
      <c r="N235" s="1">
        <v>52.19</v>
      </c>
      <c r="O235" s="1" t="s">
        <v>164</v>
      </c>
    </row>
    <row r="236" spans="1:15" x14ac:dyDescent="0.35">
      <c r="A236" s="1" t="s">
        <v>125</v>
      </c>
      <c r="B236" s="1" t="s">
        <v>126</v>
      </c>
      <c r="C236" s="1" t="s">
        <v>85</v>
      </c>
      <c r="D236" s="1">
        <v>2014</v>
      </c>
      <c r="E236" s="1">
        <v>2013</v>
      </c>
      <c r="F236" s="1" t="s">
        <v>291</v>
      </c>
      <c r="G236" s="1" t="s">
        <v>113</v>
      </c>
      <c r="H236" s="1" t="s">
        <v>222</v>
      </c>
      <c r="I236" s="1" t="s">
        <v>110</v>
      </c>
      <c r="J236" s="1">
        <v>2</v>
      </c>
      <c r="K236" s="1" t="s">
        <v>171</v>
      </c>
      <c r="L236" s="1" t="s">
        <v>85</v>
      </c>
      <c r="M236" s="1" t="s">
        <v>85</v>
      </c>
      <c r="N236" s="1">
        <v>85.97</v>
      </c>
      <c r="O236" s="1" t="s">
        <v>164</v>
      </c>
    </row>
    <row r="237" spans="1:15" x14ac:dyDescent="0.35">
      <c r="A237" s="1" t="s">
        <v>125</v>
      </c>
      <c r="B237" s="1" t="s">
        <v>126</v>
      </c>
      <c r="C237" s="1" t="s">
        <v>85</v>
      </c>
      <c r="D237" s="1">
        <v>2014</v>
      </c>
      <c r="E237" s="1">
        <v>2013</v>
      </c>
      <c r="F237" s="1" t="s">
        <v>291</v>
      </c>
      <c r="G237" s="1" t="s">
        <v>113</v>
      </c>
      <c r="H237" s="1" t="s">
        <v>222</v>
      </c>
      <c r="I237" s="1" t="s">
        <v>110</v>
      </c>
      <c r="J237" s="1">
        <v>3</v>
      </c>
      <c r="K237" s="1" t="s">
        <v>171</v>
      </c>
      <c r="L237" s="1" t="s">
        <v>85</v>
      </c>
      <c r="M237" s="1" t="s">
        <v>85</v>
      </c>
      <c r="N237" s="1">
        <v>167.58</v>
      </c>
      <c r="O237" s="1" t="s">
        <v>164</v>
      </c>
    </row>
    <row r="238" spans="1:15" x14ac:dyDescent="0.35">
      <c r="A238" s="1" t="s">
        <v>125</v>
      </c>
      <c r="B238" s="1" t="s">
        <v>126</v>
      </c>
      <c r="C238" s="1" t="s">
        <v>85</v>
      </c>
      <c r="D238" s="1">
        <v>2014</v>
      </c>
      <c r="E238" s="1">
        <v>2013</v>
      </c>
      <c r="F238" s="1" t="s">
        <v>291</v>
      </c>
      <c r="G238" s="1" t="s">
        <v>113</v>
      </c>
      <c r="H238" s="1" t="s">
        <v>222</v>
      </c>
      <c r="I238" s="1" t="s">
        <v>110</v>
      </c>
      <c r="J238" s="1">
        <v>4</v>
      </c>
      <c r="K238" s="1" t="s">
        <v>171</v>
      </c>
      <c r="L238" s="1" t="s">
        <v>85</v>
      </c>
      <c r="M238" s="1" t="s">
        <v>85</v>
      </c>
      <c r="N238" s="1">
        <v>207.92</v>
      </c>
      <c r="O238" s="1" t="s">
        <v>164</v>
      </c>
    </row>
    <row r="239" spans="1:15" x14ac:dyDescent="0.35">
      <c r="A239" s="1" t="s">
        <v>125</v>
      </c>
      <c r="B239" s="1" t="s">
        <v>126</v>
      </c>
      <c r="C239" s="1" t="s">
        <v>85</v>
      </c>
      <c r="D239" s="1">
        <v>2014</v>
      </c>
      <c r="E239" s="1">
        <v>2013</v>
      </c>
      <c r="F239" s="1" t="s">
        <v>291</v>
      </c>
      <c r="G239" s="1" t="s">
        <v>113</v>
      </c>
      <c r="H239" s="1" t="s">
        <v>222</v>
      </c>
      <c r="I239" s="1" t="s">
        <v>110</v>
      </c>
      <c r="J239" s="1">
        <v>6</v>
      </c>
      <c r="K239" s="1" t="s">
        <v>171</v>
      </c>
      <c r="L239" s="1" t="s">
        <v>85</v>
      </c>
      <c r="M239" s="1" t="s">
        <v>85</v>
      </c>
      <c r="N239" s="1">
        <v>410.57</v>
      </c>
      <c r="O239" s="1" t="s">
        <v>164</v>
      </c>
    </row>
    <row r="240" spans="1:15" x14ac:dyDescent="0.35">
      <c r="A240" s="1" t="s">
        <v>125</v>
      </c>
      <c r="B240" s="1" t="s">
        <v>126</v>
      </c>
      <c r="C240" s="1" t="s">
        <v>85</v>
      </c>
      <c r="D240" s="1">
        <v>2014</v>
      </c>
      <c r="E240" s="1">
        <v>2013</v>
      </c>
      <c r="F240" s="1" t="s">
        <v>291</v>
      </c>
      <c r="G240" s="1" t="s">
        <v>113</v>
      </c>
      <c r="H240" s="1" t="s">
        <v>222</v>
      </c>
      <c r="I240" s="1" t="s">
        <v>110</v>
      </c>
      <c r="J240" s="1">
        <v>8</v>
      </c>
      <c r="K240" s="1" t="s">
        <v>171</v>
      </c>
      <c r="L240" s="1" t="s">
        <v>85</v>
      </c>
      <c r="M240" s="1" t="s">
        <v>85</v>
      </c>
      <c r="N240" s="1">
        <v>1022.05</v>
      </c>
      <c r="O240" s="1" t="s">
        <v>164</v>
      </c>
    </row>
    <row r="241" spans="1:15" x14ac:dyDescent="0.35">
      <c r="A241" s="1" t="s">
        <v>125</v>
      </c>
      <c r="B241" s="1" t="s">
        <v>126</v>
      </c>
      <c r="C241" s="1" t="s">
        <v>85</v>
      </c>
      <c r="D241" s="1">
        <v>2014</v>
      </c>
      <c r="E241" s="1">
        <v>2013</v>
      </c>
      <c r="F241" s="1" t="s">
        <v>291</v>
      </c>
      <c r="G241" s="1" t="s">
        <v>113</v>
      </c>
      <c r="H241" s="1" t="s">
        <v>109</v>
      </c>
      <c r="I241" s="1" t="s">
        <v>110</v>
      </c>
      <c r="J241" s="1">
        <v>10</v>
      </c>
      <c r="K241" s="1" t="s">
        <v>171</v>
      </c>
      <c r="L241" s="1" t="s">
        <v>85</v>
      </c>
      <c r="M241" s="1" t="s">
        <v>85</v>
      </c>
      <c r="N241" s="1">
        <v>1592.3</v>
      </c>
      <c r="O241" s="1" t="s">
        <v>164</v>
      </c>
    </row>
    <row r="242" spans="1:15" x14ac:dyDescent="0.35">
      <c r="A242" s="1" t="s">
        <v>125</v>
      </c>
      <c r="B242" s="1" t="s">
        <v>126</v>
      </c>
      <c r="C242" s="1" t="s">
        <v>85</v>
      </c>
      <c r="D242" s="1">
        <v>2014</v>
      </c>
      <c r="E242" s="1">
        <v>2013</v>
      </c>
      <c r="F242" s="1" t="s">
        <v>292</v>
      </c>
      <c r="G242" s="1" t="s">
        <v>113</v>
      </c>
      <c r="H242" s="1" t="s">
        <v>109</v>
      </c>
      <c r="I242" s="1" t="s">
        <v>110</v>
      </c>
      <c r="J242" s="1">
        <f>5/8</f>
        <v>0.625</v>
      </c>
      <c r="K242" s="1" t="s">
        <v>171</v>
      </c>
      <c r="L242" s="1" t="s">
        <v>85</v>
      </c>
      <c r="M242" s="1" t="s">
        <v>85</v>
      </c>
      <c r="N242" s="1">
        <v>13.5</v>
      </c>
      <c r="O242" s="1" t="s">
        <v>164</v>
      </c>
    </row>
    <row r="243" spans="1:15" x14ac:dyDescent="0.35">
      <c r="A243" s="1" t="s">
        <v>125</v>
      </c>
      <c r="B243" s="1" t="s">
        <v>126</v>
      </c>
      <c r="C243" s="1" t="s">
        <v>85</v>
      </c>
      <c r="D243" s="1">
        <v>2014</v>
      </c>
      <c r="E243" s="1">
        <v>2013</v>
      </c>
      <c r="F243" s="1" t="s">
        <v>292</v>
      </c>
      <c r="G243" s="1" t="s">
        <v>113</v>
      </c>
      <c r="H243" s="1" t="s">
        <v>109</v>
      </c>
      <c r="I243" s="1" t="s">
        <v>110</v>
      </c>
      <c r="J243" s="1">
        <v>0.75</v>
      </c>
      <c r="K243" s="1" t="s">
        <v>171</v>
      </c>
      <c r="L243" s="1" t="s">
        <v>85</v>
      </c>
      <c r="M243" s="1" t="s">
        <v>85</v>
      </c>
      <c r="N243" s="1">
        <v>26.44</v>
      </c>
      <c r="O243" s="1" t="s">
        <v>164</v>
      </c>
    </row>
    <row r="244" spans="1:15" x14ac:dyDescent="0.35">
      <c r="A244" s="1" t="s">
        <v>125</v>
      </c>
      <c r="B244" s="1" t="s">
        <v>126</v>
      </c>
      <c r="C244" s="1" t="s">
        <v>85</v>
      </c>
      <c r="D244" s="1">
        <v>2014</v>
      </c>
      <c r="E244" s="1">
        <v>2013</v>
      </c>
      <c r="F244" s="1" t="s">
        <v>292</v>
      </c>
      <c r="G244" s="1" t="s">
        <v>113</v>
      </c>
      <c r="H244" s="1" t="s">
        <v>109</v>
      </c>
      <c r="I244" s="1" t="s">
        <v>110</v>
      </c>
      <c r="J244" s="1">
        <v>1</v>
      </c>
      <c r="K244" s="1" t="s">
        <v>171</v>
      </c>
      <c r="L244" s="1" t="s">
        <v>85</v>
      </c>
      <c r="M244" s="1" t="s">
        <v>85</v>
      </c>
      <c r="N244" s="1">
        <v>44.63</v>
      </c>
      <c r="O244" s="1" t="s">
        <v>164</v>
      </c>
    </row>
    <row r="245" spans="1:15" x14ac:dyDescent="0.35">
      <c r="A245" s="1" t="s">
        <v>125</v>
      </c>
      <c r="B245" s="1" t="s">
        <v>126</v>
      </c>
      <c r="C245" s="1" t="s">
        <v>85</v>
      </c>
      <c r="D245" s="1">
        <v>2014</v>
      </c>
      <c r="E245" s="1">
        <v>2013</v>
      </c>
      <c r="F245" s="1" t="s">
        <v>292</v>
      </c>
      <c r="G245" s="1" t="s">
        <v>113</v>
      </c>
      <c r="H245" s="1" t="s">
        <v>109</v>
      </c>
      <c r="I245" s="1" t="s">
        <v>110</v>
      </c>
      <c r="J245" s="1">
        <v>1.25</v>
      </c>
      <c r="K245" s="1" t="s">
        <v>171</v>
      </c>
      <c r="L245" s="1" t="s">
        <v>85</v>
      </c>
      <c r="M245" s="1" t="s">
        <v>85</v>
      </c>
      <c r="N245" s="1">
        <v>69.88</v>
      </c>
      <c r="O245" s="1" t="s">
        <v>164</v>
      </c>
    </row>
    <row r="246" spans="1:15" x14ac:dyDescent="0.35">
      <c r="A246" s="1" t="s">
        <v>125</v>
      </c>
      <c r="B246" s="1" t="s">
        <v>126</v>
      </c>
      <c r="C246" s="1" t="s">
        <v>85</v>
      </c>
      <c r="D246" s="1">
        <v>2014</v>
      </c>
      <c r="E246" s="1">
        <v>2013</v>
      </c>
      <c r="F246" s="1" t="s">
        <v>292</v>
      </c>
      <c r="G246" s="1" t="s">
        <v>113</v>
      </c>
      <c r="H246" s="1" t="s">
        <v>109</v>
      </c>
      <c r="I246" s="1" t="s">
        <v>110</v>
      </c>
      <c r="J246" s="1">
        <v>1.5</v>
      </c>
      <c r="K246" s="1" t="s">
        <v>171</v>
      </c>
      <c r="L246" s="1" t="s">
        <v>85</v>
      </c>
      <c r="M246" s="1" t="s">
        <v>85</v>
      </c>
      <c r="N246" s="1">
        <v>79.930000000000007</v>
      </c>
      <c r="O246" s="1" t="s">
        <v>164</v>
      </c>
    </row>
    <row r="247" spans="1:15" x14ac:dyDescent="0.35">
      <c r="A247" s="1" t="s">
        <v>125</v>
      </c>
      <c r="B247" s="1" t="s">
        <v>126</v>
      </c>
      <c r="C247" s="1" t="s">
        <v>85</v>
      </c>
      <c r="D247" s="1">
        <v>2014</v>
      </c>
      <c r="E247" s="1">
        <v>2013</v>
      </c>
      <c r="F247" s="1" t="s">
        <v>292</v>
      </c>
      <c r="G247" s="1" t="s">
        <v>113</v>
      </c>
      <c r="H247" s="1" t="s">
        <v>109</v>
      </c>
      <c r="I247" s="1" t="s">
        <v>110</v>
      </c>
      <c r="J247" s="1">
        <v>2</v>
      </c>
      <c r="K247" s="1" t="s">
        <v>171</v>
      </c>
      <c r="L247" s="1" t="s">
        <v>85</v>
      </c>
      <c r="M247" s="1" t="s">
        <v>85</v>
      </c>
      <c r="N247" s="1">
        <v>131.69</v>
      </c>
      <c r="O247" s="1" t="s">
        <v>164</v>
      </c>
    </row>
    <row r="248" spans="1:15" x14ac:dyDescent="0.35">
      <c r="A248" s="1" t="s">
        <v>125</v>
      </c>
      <c r="B248" s="1" t="s">
        <v>126</v>
      </c>
      <c r="C248" s="1" t="s">
        <v>85</v>
      </c>
      <c r="D248" s="1">
        <v>2014</v>
      </c>
      <c r="E248" s="1">
        <v>2013</v>
      </c>
      <c r="F248" s="1" t="s">
        <v>292</v>
      </c>
      <c r="G248" s="1" t="s">
        <v>113</v>
      </c>
      <c r="H248" s="1" t="s">
        <v>109</v>
      </c>
      <c r="I248" s="1" t="s">
        <v>110</v>
      </c>
      <c r="J248" s="1">
        <v>3</v>
      </c>
      <c r="K248" s="1" t="s">
        <v>171</v>
      </c>
      <c r="L248" s="1" t="s">
        <v>85</v>
      </c>
      <c r="M248" s="1" t="s">
        <v>85</v>
      </c>
      <c r="N248" s="1">
        <v>256.64999999999998</v>
      </c>
      <c r="O248" s="1" t="s">
        <v>164</v>
      </c>
    </row>
    <row r="249" spans="1:15" x14ac:dyDescent="0.35">
      <c r="A249" s="1" t="s">
        <v>125</v>
      </c>
      <c r="B249" s="1" t="s">
        <v>126</v>
      </c>
      <c r="C249" s="1" t="s">
        <v>85</v>
      </c>
      <c r="D249" s="1">
        <v>2014</v>
      </c>
      <c r="E249" s="1">
        <v>2013</v>
      </c>
      <c r="F249" s="1" t="s">
        <v>292</v>
      </c>
      <c r="G249" s="1" t="s">
        <v>113</v>
      </c>
      <c r="H249" s="1" t="s">
        <v>109</v>
      </c>
      <c r="I249" s="1" t="s">
        <v>110</v>
      </c>
      <c r="J249" s="1">
        <v>4</v>
      </c>
      <c r="K249" s="1" t="s">
        <v>171</v>
      </c>
      <c r="L249" s="1" t="s">
        <v>85</v>
      </c>
      <c r="M249" s="1" t="s">
        <v>85</v>
      </c>
      <c r="N249" s="1">
        <v>318.47000000000003</v>
      </c>
      <c r="O249" s="1" t="s">
        <v>164</v>
      </c>
    </row>
    <row r="250" spans="1:15" x14ac:dyDescent="0.35">
      <c r="A250" s="1" t="s">
        <v>125</v>
      </c>
      <c r="B250" s="1" t="s">
        <v>126</v>
      </c>
      <c r="C250" s="1" t="s">
        <v>85</v>
      </c>
      <c r="D250" s="1">
        <v>2014</v>
      </c>
      <c r="E250" s="1">
        <v>2013</v>
      </c>
      <c r="F250" s="1" t="s">
        <v>292</v>
      </c>
      <c r="G250" s="1" t="s">
        <v>113</v>
      </c>
      <c r="H250" s="1" t="s">
        <v>109</v>
      </c>
      <c r="I250" s="1" t="s">
        <v>110</v>
      </c>
      <c r="J250" s="1">
        <v>6</v>
      </c>
      <c r="K250" s="1" t="s">
        <v>171</v>
      </c>
      <c r="L250" s="1" t="s">
        <v>85</v>
      </c>
      <c r="M250" s="1" t="s">
        <v>85</v>
      </c>
      <c r="N250" s="1">
        <v>628.82000000000005</v>
      </c>
      <c r="O250" s="1" t="s">
        <v>164</v>
      </c>
    </row>
    <row r="251" spans="1:15" x14ac:dyDescent="0.35">
      <c r="A251" s="1" t="s">
        <v>125</v>
      </c>
      <c r="B251" s="1" t="s">
        <v>126</v>
      </c>
      <c r="C251" s="1" t="s">
        <v>85</v>
      </c>
      <c r="D251" s="1">
        <v>2014</v>
      </c>
      <c r="E251" s="1">
        <v>2013</v>
      </c>
      <c r="F251" s="1" t="s">
        <v>292</v>
      </c>
      <c r="G251" s="1" t="s">
        <v>113</v>
      </c>
      <c r="H251" s="1" t="s">
        <v>109</v>
      </c>
      <c r="I251" s="1" t="s">
        <v>110</v>
      </c>
      <c r="J251" s="1">
        <v>8</v>
      </c>
      <c r="K251" s="1" t="s">
        <v>171</v>
      </c>
      <c r="L251" s="1" t="s">
        <v>85</v>
      </c>
      <c r="M251" s="1" t="s">
        <v>85</v>
      </c>
      <c r="N251" s="1">
        <v>1565.45</v>
      </c>
      <c r="O251" s="1" t="s">
        <v>164</v>
      </c>
    </row>
    <row r="252" spans="1:15" x14ac:dyDescent="0.35">
      <c r="A252" s="1" t="s">
        <v>125</v>
      </c>
      <c r="B252" s="1" t="s">
        <v>126</v>
      </c>
      <c r="C252" s="1" t="s">
        <v>85</v>
      </c>
      <c r="D252" s="1">
        <v>2014</v>
      </c>
      <c r="E252" s="1">
        <v>2013</v>
      </c>
      <c r="F252" s="1" t="s">
        <v>292</v>
      </c>
      <c r="G252" s="1" t="s">
        <v>113</v>
      </c>
      <c r="H252" s="1" t="s">
        <v>109</v>
      </c>
      <c r="I252" s="1" t="s">
        <v>110</v>
      </c>
      <c r="J252" s="1">
        <v>10</v>
      </c>
      <c r="K252" s="1" t="s">
        <v>171</v>
      </c>
      <c r="L252" s="1" t="s">
        <v>85</v>
      </c>
      <c r="M252" s="1" t="s">
        <v>85</v>
      </c>
      <c r="N252" s="1">
        <v>2438.85</v>
      </c>
      <c r="O252" s="1" t="s">
        <v>164</v>
      </c>
    </row>
    <row r="253" spans="1:15" x14ac:dyDescent="0.35">
      <c r="A253" s="1" t="s">
        <v>125</v>
      </c>
      <c r="B253" s="1" t="s">
        <v>126</v>
      </c>
      <c r="C253" s="1" t="s">
        <v>85</v>
      </c>
      <c r="D253" s="1">
        <v>2014</v>
      </c>
      <c r="E253" s="1">
        <v>2013</v>
      </c>
      <c r="F253" s="1" t="s">
        <v>103</v>
      </c>
      <c r="G253" s="1" t="s">
        <v>113</v>
      </c>
      <c r="H253" s="1" t="s">
        <v>111</v>
      </c>
      <c r="I253" s="1" t="s">
        <v>294</v>
      </c>
      <c r="J253" s="1" t="s">
        <v>85</v>
      </c>
      <c r="K253" s="1" t="s">
        <v>85</v>
      </c>
      <c r="L253" s="1" t="s">
        <v>85</v>
      </c>
      <c r="M253" s="1" t="s">
        <v>85</v>
      </c>
      <c r="N253" s="1">
        <v>5.35</v>
      </c>
      <c r="O253" s="1" t="s">
        <v>172</v>
      </c>
    </row>
    <row r="254" spans="1:15" x14ac:dyDescent="0.35">
      <c r="A254" s="1" t="s">
        <v>125</v>
      </c>
      <c r="B254" s="1" t="s">
        <v>126</v>
      </c>
      <c r="C254" s="1" t="s">
        <v>85</v>
      </c>
      <c r="D254" s="1">
        <v>2014</v>
      </c>
      <c r="E254" s="1">
        <v>2013</v>
      </c>
      <c r="F254" s="1" t="s">
        <v>292</v>
      </c>
      <c r="G254" s="1" t="s">
        <v>113</v>
      </c>
      <c r="H254" s="1" t="s">
        <v>111</v>
      </c>
      <c r="I254" s="1" t="s">
        <v>294</v>
      </c>
      <c r="J254" s="1" t="s">
        <v>85</v>
      </c>
      <c r="K254" s="1" t="s">
        <v>85</v>
      </c>
      <c r="L254" s="1" t="s">
        <v>85</v>
      </c>
      <c r="M254" s="1" t="s">
        <v>85</v>
      </c>
      <c r="N254" s="1">
        <v>7.15</v>
      </c>
      <c r="O254" s="1" t="s">
        <v>172</v>
      </c>
    </row>
    <row r="255" spans="1:15" x14ac:dyDescent="0.35">
      <c r="A255" s="1" t="s">
        <v>125</v>
      </c>
      <c r="B255" s="1" t="s">
        <v>126</v>
      </c>
      <c r="C255" s="1" t="s">
        <v>85</v>
      </c>
      <c r="D255" s="1">
        <v>2014</v>
      </c>
      <c r="E255" s="1">
        <v>2013</v>
      </c>
      <c r="F255" s="1" t="s">
        <v>103</v>
      </c>
      <c r="G255" s="1" t="s">
        <v>113</v>
      </c>
      <c r="H255" s="1" t="s">
        <v>111</v>
      </c>
      <c r="I255" s="1" t="s">
        <v>293</v>
      </c>
      <c r="J255" s="1">
        <v>750000</v>
      </c>
      <c r="K255" s="1" t="s">
        <v>112</v>
      </c>
      <c r="L255" s="1" t="s">
        <v>85</v>
      </c>
      <c r="M255" s="1" t="s">
        <v>85</v>
      </c>
      <c r="N255" s="1">
        <v>6.58</v>
      </c>
      <c r="O255" s="1" t="s">
        <v>172</v>
      </c>
    </row>
    <row r="256" spans="1:15" x14ac:dyDescent="0.35">
      <c r="A256" s="1" t="s">
        <v>125</v>
      </c>
      <c r="B256" s="1" t="s">
        <v>126</v>
      </c>
      <c r="C256" s="1" t="s">
        <v>85</v>
      </c>
      <c r="D256" s="1">
        <v>2014</v>
      </c>
      <c r="E256" s="1">
        <v>2013</v>
      </c>
      <c r="F256" s="1" t="s">
        <v>103</v>
      </c>
      <c r="G256" s="1" t="s">
        <v>113</v>
      </c>
      <c r="H256" s="1" t="s">
        <v>111</v>
      </c>
      <c r="I256" s="1" t="s">
        <v>293</v>
      </c>
      <c r="J256" s="1">
        <v>3750000</v>
      </c>
      <c r="K256" s="1" t="s">
        <v>112</v>
      </c>
      <c r="L256" s="1" t="s">
        <v>85</v>
      </c>
      <c r="M256" s="1" t="s">
        <v>85</v>
      </c>
      <c r="N256" s="1">
        <v>5.75</v>
      </c>
      <c r="O256" s="1" t="s">
        <v>172</v>
      </c>
    </row>
    <row r="257" spans="1:15" x14ac:dyDescent="0.35">
      <c r="A257" s="1" t="s">
        <v>125</v>
      </c>
      <c r="B257" s="1" t="s">
        <v>126</v>
      </c>
      <c r="C257" s="1" t="s">
        <v>85</v>
      </c>
      <c r="D257" s="1">
        <v>2014</v>
      </c>
      <c r="E257" s="1">
        <v>2013</v>
      </c>
      <c r="F257" s="1" t="s">
        <v>103</v>
      </c>
      <c r="G257" s="1" t="s">
        <v>113</v>
      </c>
      <c r="H257" s="1" t="s">
        <v>111</v>
      </c>
      <c r="I257" s="1" t="s">
        <v>293</v>
      </c>
      <c r="J257" s="1" t="s">
        <v>174</v>
      </c>
      <c r="K257" s="1" t="s">
        <v>112</v>
      </c>
      <c r="L257" s="1" t="s">
        <v>85</v>
      </c>
      <c r="M257" s="1" t="s">
        <v>85</v>
      </c>
      <c r="N257" s="1">
        <v>4.8600000000000003</v>
      </c>
      <c r="O257" s="1" t="s">
        <v>172</v>
      </c>
    </row>
    <row r="258" spans="1:15" x14ac:dyDescent="0.35">
      <c r="A258" s="1" t="s">
        <v>125</v>
      </c>
      <c r="B258" s="1" t="s">
        <v>126</v>
      </c>
      <c r="C258" s="1" t="s">
        <v>85</v>
      </c>
      <c r="D258" s="1">
        <v>2014</v>
      </c>
      <c r="E258" s="1">
        <v>2013</v>
      </c>
      <c r="F258" s="1" t="s">
        <v>292</v>
      </c>
      <c r="G258" s="1" t="s">
        <v>113</v>
      </c>
      <c r="H258" s="1" t="s">
        <v>111</v>
      </c>
      <c r="I258" s="1" t="s">
        <v>293</v>
      </c>
      <c r="J258" s="1">
        <v>750000</v>
      </c>
      <c r="K258" s="1" t="s">
        <v>112</v>
      </c>
      <c r="L258" s="1" t="s">
        <v>85</v>
      </c>
      <c r="M258" s="1" t="s">
        <v>85</v>
      </c>
      <c r="N258" s="1">
        <v>8.8000000000000007</v>
      </c>
      <c r="O258" s="1" t="s">
        <v>172</v>
      </c>
    </row>
    <row r="259" spans="1:15" x14ac:dyDescent="0.35">
      <c r="A259" s="1" t="s">
        <v>125</v>
      </c>
      <c r="B259" s="1" t="s">
        <v>126</v>
      </c>
      <c r="C259" s="1" t="s">
        <v>85</v>
      </c>
      <c r="D259" s="1">
        <v>2014</v>
      </c>
      <c r="E259" s="1">
        <v>2013</v>
      </c>
      <c r="F259" s="1" t="s">
        <v>292</v>
      </c>
      <c r="G259" s="1" t="s">
        <v>113</v>
      </c>
      <c r="H259" s="1" t="s">
        <v>111</v>
      </c>
      <c r="I259" s="1" t="s">
        <v>293</v>
      </c>
      <c r="J259" s="1">
        <v>3750000</v>
      </c>
      <c r="K259" s="1" t="s">
        <v>112</v>
      </c>
      <c r="L259" s="1" t="s">
        <v>85</v>
      </c>
      <c r="M259" s="1" t="s">
        <v>85</v>
      </c>
      <c r="N259" s="1">
        <v>7.69</v>
      </c>
      <c r="O259" s="1" t="s">
        <v>172</v>
      </c>
    </row>
    <row r="260" spans="1:15" x14ac:dyDescent="0.35">
      <c r="A260" s="1" t="s">
        <v>125</v>
      </c>
      <c r="B260" s="1" t="s">
        <v>126</v>
      </c>
      <c r="C260" s="1" t="s">
        <v>85</v>
      </c>
      <c r="D260" s="1">
        <v>2014</v>
      </c>
      <c r="E260" s="1">
        <v>2013</v>
      </c>
      <c r="F260" s="1" t="s">
        <v>292</v>
      </c>
      <c r="G260" s="1" t="s">
        <v>113</v>
      </c>
      <c r="H260" s="1" t="s">
        <v>111</v>
      </c>
      <c r="I260" s="1" t="s">
        <v>293</v>
      </c>
      <c r="J260" s="1" t="s">
        <v>174</v>
      </c>
      <c r="K260" s="1" t="s">
        <v>112</v>
      </c>
      <c r="L260" s="1" t="s">
        <v>85</v>
      </c>
      <c r="M260" s="1" t="s">
        <v>85</v>
      </c>
      <c r="N260" s="1">
        <v>6.48</v>
      </c>
      <c r="O260" s="1" t="s">
        <v>172</v>
      </c>
    </row>
    <row r="261" spans="1:15" x14ac:dyDescent="0.35">
      <c r="A261" s="1" t="s">
        <v>125</v>
      </c>
      <c r="B261" s="1" t="s">
        <v>126</v>
      </c>
      <c r="C261" s="1">
        <v>2015</v>
      </c>
      <c r="D261" s="1">
        <v>2015</v>
      </c>
      <c r="E261" s="1">
        <v>2015</v>
      </c>
      <c r="F261" s="1" t="s">
        <v>103</v>
      </c>
      <c r="G261" s="1" t="s">
        <v>113</v>
      </c>
      <c r="H261" s="1" t="s">
        <v>109</v>
      </c>
      <c r="I261" s="1" t="s">
        <v>110</v>
      </c>
      <c r="J261" s="1">
        <f>5/8</f>
        <v>0.625</v>
      </c>
      <c r="K261" s="1" t="s">
        <v>171</v>
      </c>
      <c r="L261" s="1" t="s">
        <v>85</v>
      </c>
      <c r="M261" s="1" t="s">
        <v>85</v>
      </c>
      <c r="N261" s="1">
        <v>10.4</v>
      </c>
      <c r="O261" s="1" t="s">
        <v>164</v>
      </c>
    </row>
    <row r="262" spans="1:15" x14ac:dyDescent="0.35">
      <c r="A262" s="1" t="s">
        <v>125</v>
      </c>
      <c r="B262" s="1" t="s">
        <v>126</v>
      </c>
      <c r="C262" s="1">
        <v>2015</v>
      </c>
      <c r="D262" s="1">
        <v>2015</v>
      </c>
      <c r="E262" s="1">
        <v>2015</v>
      </c>
      <c r="F262" s="1" t="s">
        <v>103</v>
      </c>
      <c r="G262" s="1" t="s">
        <v>113</v>
      </c>
      <c r="H262" s="1" t="s">
        <v>109</v>
      </c>
      <c r="I262" s="1" t="s">
        <v>110</v>
      </c>
      <c r="J262" s="1">
        <v>0.75</v>
      </c>
      <c r="K262" s="1" t="s">
        <v>171</v>
      </c>
      <c r="L262" s="1" t="s">
        <v>85</v>
      </c>
      <c r="M262" s="1" t="s">
        <v>85</v>
      </c>
      <c r="N262" s="1">
        <v>20.36</v>
      </c>
      <c r="O262" s="1" t="s">
        <v>164</v>
      </c>
    </row>
    <row r="263" spans="1:15" x14ac:dyDescent="0.35">
      <c r="A263" s="1" t="s">
        <v>125</v>
      </c>
      <c r="B263" s="1" t="s">
        <v>126</v>
      </c>
      <c r="C263" s="1">
        <v>2015</v>
      </c>
      <c r="D263" s="1">
        <v>2015</v>
      </c>
      <c r="E263" s="1">
        <v>2015</v>
      </c>
      <c r="F263" s="1" t="s">
        <v>103</v>
      </c>
      <c r="G263" s="1" t="s">
        <v>113</v>
      </c>
      <c r="H263" s="1" t="s">
        <v>109</v>
      </c>
      <c r="I263" s="1" t="s">
        <v>110</v>
      </c>
      <c r="J263" s="1">
        <v>1</v>
      </c>
      <c r="K263" s="1" t="s">
        <v>171</v>
      </c>
      <c r="L263" s="1" t="s">
        <v>85</v>
      </c>
      <c r="M263" s="1" t="s">
        <v>85</v>
      </c>
      <c r="N263" s="1">
        <v>34.35</v>
      </c>
      <c r="O263" s="1" t="s">
        <v>164</v>
      </c>
    </row>
    <row r="264" spans="1:15" x14ac:dyDescent="0.35">
      <c r="A264" s="1" t="s">
        <v>125</v>
      </c>
      <c r="B264" s="1" t="s">
        <v>126</v>
      </c>
      <c r="C264" s="1">
        <v>2015</v>
      </c>
      <c r="D264" s="1">
        <v>2015</v>
      </c>
      <c r="E264" s="1">
        <v>2015</v>
      </c>
      <c r="F264" s="1" t="s">
        <v>103</v>
      </c>
      <c r="G264" s="1" t="s">
        <v>113</v>
      </c>
      <c r="H264" s="1" t="s">
        <v>109</v>
      </c>
      <c r="I264" s="1" t="s">
        <v>110</v>
      </c>
      <c r="J264" s="1">
        <v>1.25</v>
      </c>
      <c r="K264" s="1" t="s">
        <v>171</v>
      </c>
      <c r="L264" s="1" t="s">
        <v>85</v>
      </c>
      <c r="M264" s="1" t="s">
        <v>85</v>
      </c>
      <c r="N264" s="1">
        <v>53.79</v>
      </c>
      <c r="O264" s="1" t="s">
        <v>164</v>
      </c>
    </row>
    <row r="265" spans="1:15" x14ac:dyDescent="0.35">
      <c r="A265" s="1" t="s">
        <v>125</v>
      </c>
      <c r="B265" s="1" t="s">
        <v>126</v>
      </c>
      <c r="C265" s="1">
        <v>2015</v>
      </c>
      <c r="D265" s="1">
        <v>2015</v>
      </c>
      <c r="E265" s="1">
        <v>2015</v>
      </c>
      <c r="F265" s="1" t="s">
        <v>103</v>
      </c>
      <c r="G265" s="1" t="s">
        <v>113</v>
      </c>
      <c r="H265" s="1" t="s">
        <v>109</v>
      </c>
      <c r="I265" s="1" t="s">
        <v>110</v>
      </c>
      <c r="J265" s="1">
        <v>1.5</v>
      </c>
      <c r="K265" s="1" t="s">
        <v>171</v>
      </c>
      <c r="L265" s="1" t="s">
        <v>85</v>
      </c>
      <c r="M265" s="1" t="s">
        <v>85</v>
      </c>
      <c r="N265" s="1">
        <v>61.52</v>
      </c>
      <c r="O265" s="1" t="s">
        <v>164</v>
      </c>
    </row>
    <row r="266" spans="1:15" x14ac:dyDescent="0.35">
      <c r="A266" s="1" t="s">
        <v>125</v>
      </c>
      <c r="B266" s="1" t="s">
        <v>126</v>
      </c>
      <c r="C266" s="1">
        <v>2015</v>
      </c>
      <c r="D266" s="1">
        <v>2015</v>
      </c>
      <c r="E266" s="1">
        <v>2015</v>
      </c>
      <c r="F266" s="1" t="s">
        <v>103</v>
      </c>
      <c r="G266" s="1" t="s">
        <v>113</v>
      </c>
      <c r="H266" s="1" t="s">
        <v>109</v>
      </c>
      <c r="I266" s="1" t="s">
        <v>110</v>
      </c>
      <c r="J266" s="1">
        <v>2</v>
      </c>
      <c r="K266" s="1" t="s">
        <v>171</v>
      </c>
      <c r="L266" s="1" t="s">
        <v>85</v>
      </c>
      <c r="M266" s="1" t="s">
        <v>85</v>
      </c>
      <c r="N266" s="1">
        <v>101.36</v>
      </c>
      <c r="O266" s="1" t="s">
        <v>164</v>
      </c>
    </row>
    <row r="267" spans="1:15" x14ac:dyDescent="0.35">
      <c r="A267" s="1" t="s">
        <v>125</v>
      </c>
      <c r="B267" s="1" t="s">
        <v>126</v>
      </c>
      <c r="C267" s="1">
        <v>2015</v>
      </c>
      <c r="D267" s="1">
        <v>2015</v>
      </c>
      <c r="E267" s="1">
        <v>2015</v>
      </c>
      <c r="F267" s="1" t="s">
        <v>103</v>
      </c>
      <c r="G267" s="1" t="s">
        <v>113</v>
      </c>
      <c r="H267" s="1" t="s">
        <v>109</v>
      </c>
      <c r="I267" s="1" t="s">
        <v>110</v>
      </c>
      <c r="J267" s="1">
        <v>3</v>
      </c>
      <c r="K267" s="1" t="s">
        <v>171</v>
      </c>
      <c r="L267" s="1" t="s">
        <v>85</v>
      </c>
      <c r="M267" s="1" t="s">
        <v>85</v>
      </c>
      <c r="N267" s="1">
        <v>197.53</v>
      </c>
      <c r="O267" s="1" t="s">
        <v>164</v>
      </c>
    </row>
    <row r="268" spans="1:15" x14ac:dyDescent="0.35">
      <c r="A268" s="1" t="s">
        <v>125</v>
      </c>
      <c r="B268" s="1" t="s">
        <v>126</v>
      </c>
      <c r="C268" s="1">
        <v>2015</v>
      </c>
      <c r="D268" s="1">
        <v>2015</v>
      </c>
      <c r="E268" s="1">
        <v>2015</v>
      </c>
      <c r="F268" s="1" t="s">
        <v>103</v>
      </c>
      <c r="G268" s="1" t="s">
        <v>113</v>
      </c>
      <c r="H268" s="1" t="s">
        <v>109</v>
      </c>
      <c r="I268" s="1" t="s">
        <v>110</v>
      </c>
      <c r="J268" s="1">
        <v>4</v>
      </c>
      <c r="K268" s="1" t="s">
        <v>171</v>
      </c>
      <c r="L268" s="1" t="s">
        <v>85</v>
      </c>
      <c r="M268" s="1" t="s">
        <v>85</v>
      </c>
      <c r="N268" s="1">
        <v>245.12</v>
      </c>
      <c r="O268" s="1" t="s">
        <v>164</v>
      </c>
    </row>
    <row r="269" spans="1:15" x14ac:dyDescent="0.35">
      <c r="A269" s="1" t="s">
        <v>125</v>
      </c>
      <c r="B269" s="1" t="s">
        <v>126</v>
      </c>
      <c r="C269" s="1">
        <v>2015</v>
      </c>
      <c r="D269" s="1">
        <v>2015</v>
      </c>
      <c r="E269" s="1">
        <v>2015</v>
      </c>
      <c r="F269" s="1" t="s">
        <v>103</v>
      </c>
      <c r="G269" s="1" t="s">
        <v>113</v>
      </c>
      <c r="H269" s="1" t="s">
        <v>109</v>
      </c>
      <c r="I269" s="1" t="s">
        <v>110</v>
      </c>
      <c r="J269" s="1">
        <v>6</v>
      </c>
      <c r="K269" s="1" t="s">
        <v>171</v>
      </c>
      <c r="L269" s="1" t="s">
        <v>85</v>
      </c>
      <c r="M269" s="1" t="s">
        <v>85</v>
      </c>
      <c r="N269" s="1">
        <v>483.96</v>
      </c>
      <c r="O269" s="1" t="s">
        <v>164</v>
      </c>
    </row>
    <row r="270" spans="1:15" x14ac:dyDescent="0.35">
      <c r="A270" s="1" t="s">
        <v>125</v>
      </c>
      <c r="B270" s="1" t="s">
        <v>126</v>
      </c>
      <c r="C270" s="1">
        <v>2015</v>
      </c>
      <c r="D270" s="1">
        <v>2015</v>
      </c>
      <c r="E270" s="1">
        <v>2015</v>
      </c>
      <c r="F270" s="1" t="s">
        <v>103</v>
      </c>
      <c r="G270" s="1" t="s">
        <v>113</v>
      </c>
      <c r="H270" s="1" t="s">
        <v>109</v>
      </c>
      <c r="I270" s="1" t="s">
        <v>110</v>
      </c>
      <c r="J270" s="1">
        <v>8</v>
      </c>
      <c r="K270" s="1" t="s">
        <v>171</v>
      </c>
      <c r="L270" s="1" t="s">
        <v>85</v>
      </c>
      <c r="M270" s="1" t="s">
        <v>85</v>
      </c>
      <c r="N270" s="1">
        <v>1204.8</v>
      </c>
      <c r="O270" s="1" t="s">
        <v>164</v>
      </c>
    </row>
    <row r="271" spans="1:15" x14ac:dyDescent="0.35">
      <c r="A271" s="1" t="s">
        <v>125</v>
      </c>
      <c r="B271" s="1" t="s">
        <v>126</v>
      </c>
      <c r="C271" s="1">
        <v>2015</v>
      </c>
      <c r="D271" s="1">
        <v>2015</v>
      </c>
      <c r="E271" s="1">
        <v>2015</v>
      </c>
      <c r="F271" s="1" t="s">
        <v>103</v>
      </c>
      <c r="G271" s="1" t="s">
        <v>113</v>
      </c>
      <c r="H271" s="1" t="s">
        <v>109</v>
      </c>
      <c r="I271" s="1" t="s">
        <v>110</v>
      </c>
      <c r="J271" s="1">
        <v>10</v>
      </c>
      <c r="K271" s="1" t="s">
        <v>171</v>
      </c>
      <c r="L271" s="1" t="s">
        <v>85</v>
      </c>
      <c r="M271" s="1" t="s">
        <v>85</v>
      </c>
      <c r="N271" s="1">
        <v>1876.97</v>
      </c>
      <c r="O271" s="1" t="s">
        <v>164</v>
      </c>
    </row>
    <row r="272" spans="1:15" x14ac:dyDescent="0.35">
      <c r="A272" s="1" t="s">
        <v>125</v>
      </c>
      <c r="B272" s="1" t="s">
        <v>126</v>
      </c>
      <c r="C272" s="1">
        <v>2015</v>
      </c>
      <c r="D272" s="1">
        <v>2015</v>
      </c>
      <c r="E272" s="1">
        <v>2015</v>
      </c>
      <c r="F272" s="1" t="s">
        <v>291</v>
      </c>
      <c r="G272" s="1" t="s">
        <v>113</v>
      </c>
      <c r="H272" s="1" t="s">
        <v>222</v>
      </c>
      <c r="I272" s="1" t="s">
        <v>110</v>
      </c>
      <c r="J272" s="1">
        <f>5/8</f>
        <v>0.625</v>
      </c>
      <c r="K272" s="1" t="s">
        <v>171</v>
      </c>
      <c r="L272" s="1" t="s">
        <v>85</v>
      </c>
      <c r="M272" s="1" t="s">
        <v>85</v>
      </c>
      <c r="N272" s="1">
        <v>7.65</v>
      </c>
      <c r="O272" s="1" t="s">
        <v>164</v>
      </c>
    </row>
    <row r="273" spans="1:15" x14ac:dyDescent="0.35">
      <c r="A273" s="1" t="s">
        <v>125</v>
      </c>
      <c r="B273" s="1" t="s">
        <v>126</v>
      </c>
      <c r="C273" s="1">
        <v>2015</v>
      </c>
      <c r="D273" s="1">
        <v>2015</v>
      </c>
      <c r="E273" s="1">
        <v>2015</v>
      </c>
      <c r="F273" s="1" t="s">
        <v>291</v>
      </c>
      <c r="G273" s="1" t="s">
        <v>113</v>
      </c>
      <c r="H273" s="1" t="s">
        <v>222</v>
      </c>
      <c r="I273" s="1" t="s">
        <v>110</v>
      </c>
      <c r="J273" s="1">
        <v>0.75</v>
      </c>
      <c r="K273" s="1" t="s">
        <v>171</v>
      </c>
      <c r="L273" s="1" t="s">
        <v>85</v>
      </c>
      <c r="M273" s="1" t="s">
        <v>85</v>
      </c>
      <c r="N273" s="1">
        <v>7.65</v>
      </c>
      <c r="O273" s="1" t="s">
        <v>164</v>
      </c>
    </row>
    <row r="274" spans="1:15" x14ac:dyDescent="0.35">
      <c r="A274" s="1" t="s">
        <v>125</v>
      </c>
      <c r="B274" s="1" t="s">
        <v>126</v>
      </c>
      <c r="C274" s="1">
        <v>2015</v>
      </c>
      <c r="D274" s="1">
        <v>2015</v>
      </c>
      <c r="E274" s="1">
        <v>2015</v>
      </c>
      <c r="F274" s="1" t="s">
        <v>291</v>
      </c>
      <c r="G274" s="1" t="s">
        <v>113</v>
      </c>
      <c r="H274" s="1" t="s">
        <v>222</v>
      </c>
      <c r="I274" s="1" t="s">
        <v>110</v>
      </c>
      <c r="J274" s="1">
        <v>1</v>
      </c>
      <c r="K274" s="1" t="s">
        <v>171</v>
      </c>
      <c r="L274" s="1" t="s">
        <v>85</v>
      </c>
      <c r="M274" s="1" t="s">
        <v>85</v>
      </c>
      <c r="N274" s="1">
        <v>30.02</v>
      </c>
      <c r="O274" s="1" t="s">
        <v>164</v>
      </c>
    </row>
    <row r="275" spans="1:15" x14ac:dyDescent="0.35">
      <c r="A275" s="1" t="s">
        <v>125</v>
      </c>
      <c r="B275" s="1" t="s">
        <v>126</v>
      </c>
      <c r="C275" s="1">
        <v>2015</v>
      </c>
      <c r="D275" s="1">
        <v>2015</v>
      </c>
      <c r="E275" s="1">
        <v>2015</v>
      </c>
      <c r="F275" s="1" t="s">
        <v>291</v>
      </c>
      <c r="G275" s="1" t="s">
        <v>113</v>
      </c>
      <c r="H275" s="1" t="s">
        <v>222</v>
      </c>
      <c r="I275" s="1" t="s">
        <v>110</v>
      </c>
      <c r="J275" s="1">
        <v>1.25</v>
      </c>
      <c r="K275" s="1" t="s">
        <v>171</v>
      </c>
      <c r="L275" s="1" t="s">
        <v>85</v>
      </c>
      <c r="M275" s="1" t="s">
        <v>85</v>
      </c>
      <c r="N275" s="1">
        <v>47.01</v>
      </c>
      <c r="O275" s="1" t="s">
        <v>164</v>
      </c>
    </row>
    <row r="276" spans="1:15" x14ac:dyDescent="0.35">
      <c r="A276" s="1" t="s">
        <v>125</v>
      </c>
      <c r="B276" s="1" t="s">
        <v>126</v>
      </c>
      <c r="C276" s="1">
        <v>2015</v>
      </c>
      <c r="D276" s="1">
        <v>2015</v>
      </c>
      <c r="E276" s="1">
        <v>2015</v>
      </c>
      <c r="F276" s="1" t="s">
        <v>291</v>
      </c>
      <c r="G276" s="1" t="s">
        <v>113</v>
      </c>
      <c r="H276" s="1" t="s">
        <v>222</v>
      </c>
      <c r="I276" s="1" t="s">
        <v>110</v>
      </c>
      <c r="J276" s="1">
        <v>1.5</v>
      </c>
      <c r="K276" s="1" t="s">
        <v>171</v>
      </c>
      <c r="L276" s="1" t="s">
        <v>85</v>
      </c>
      <c r="M276" s="1" t="s">
        <v>85</v>
      </c>
      <c r="N276" s="1">
        <v>53.76</v>
      </c>
      <c r="O276" s="1" t="s">
        <v>164</v>
      </c>
    </row>
    <row r="277" spans="1:15" x14ac:dyDescent="0.35">
      <c r="A277" s="1" t="s">
        <v>125</v>
      </c>
      <c r="B277" s="1" t="s">
        <v>126</v>
      </c>
      <c r="C277" s="1">
        <v>2015</v>
      </c>
      <c r="D277" s="1">
        <v>2015</v>
      </c>
      <c r="E277" s="1">
        <v>2015</v>
      </c>
      <c r="F277" s="1" t="s">
        <v>291</v>
      </c>
      <c r="G277" s="1" t="s">
        <v>113</v>
      </c>
      <c r="H277" s="1" t="s">
        <v>222</v>
      </c>
      <c r="I277" s="1" t="s">
        <v>110</v>
      </c>
      <c r="J277" s="1">
        <v>2</v>
      </c>
      <c r="K277" s="1" t="s">
        <v>171</v>
      </c>
      <c r="L277" s="1" t="s">
        <v>85</v>
      </c>
      <c r="M277" s="1" t="s">
        <v>85</v>
      </c>
      <c r="N277" s="1">
        <v>88.55</v>
      </c>
      <c r="O277" s="1" t="s">
        <v>164</v>
      </c>
    </row>
    <row r="278" spans="1:15" x14ac:dyDescent="0.35">
      <c r="A278" s="1" t="s">
        <v>125</v>
      </c>
      <c r="B278" s="1" t="s">
        <v>126</v>
      </c>
      <c r="C278" s="1">
        <v>2015</v>
      </c>
      <c r="D278" s="1">
        <v>2015</v>
      </c>
      <c r="E278" s="1">
        <v>2015</v>
      </c>
      <c r="F278" s="1" t="s">
        <v>291</v>
      </c>
      <c r="G278" s="1" t="s">
        <v>113</v>
      </c>
      <c r="H278" s="1" t="s">
        <v>222</v>
      </c>
      <c r="I278" s="1" t="s">
        <v>110</v>
      </c>
      <c r="J278" s="1">
        <v>3</v>
      </c>
      <c r="K278" s="1" t="s">
        <v>171</v>
      </c>
      <c r="L278" s="1" t="s">
        <v>85</v>
      </c>
      <c r="M278" s="1" t="s">
        <v>85</v>
      </c>
      <c r="N278" s="1">
        <v>172.61</v>
      </c>
      <c r="O278" s="1" t="s">
        <v>164</v>
      </c>
    </row>
    <row r="279" spans="1:15" x14ac:dyDescent="0.35">
      <c r="A279" s="1" t="s">
        <v>125</v>
      </c>
      <c r="B279" s="1" t="s">
        <v>126</v>
      </c>
      <c r="C279" s="1">
        <v>2015</v>
      </c>
      <c r="D279" s="1">
        <v>2015</v>
      </c>
      <c r="E279" s="1">
        <v>2015</v>
      </c>
      <c r="F279" s="1" t="s">
        <v>291</v>
      </c>
      <c r="G279" s="1" t="s">
        <v>113</v>
      </c>
      <c r="H279" s="1" t="s">
        <v>222</v>
      </c>
      <c r="I279" s="1" t="s">
        <v>110</v>
      </c>
      <c r="J279" s="1">
        <v>4</v>
      </c>
      <c r="K279" s="1" t="s">
        <v>171</v>
      </c>
      <c r="L279" s="1" t="s">
        <v>85</v>
      </c>
      <c r="M279" s="1" t="s">
        <v>85</v>
      </c>
      <c r="N279" s="1">
        <v>214.16</v>
      </c>
      <c r="O279" s="1" t="s">
        <v>164</v>
      </c>
    </row>
    <row r="280" spans="1:15" x14ac:dyDescent="0.35">
      <c r="A280" s="1" t="s">
        <v>125</v>
      </c>
      <c r="B280" s="1" t="s">
        <v>126</v>
      </c>
      <c r="C280" s="1">
        <v>2015</v>
      </c>
      <c r="D280" s="1">
        <v>2015</v>
      </c>
      <c r="E280" s="1">
        <v>2015</v>
      </c>
      <c r="F280" s="1" t="s">
        <v>291</v>
      </c>
      <c r="G280" s="1" t="s">
        <v>113</v>
      </c>
      <c r="H280" s="1" t="s">
        <v>222</v>
      </c>
      <c r="I280" s="1" t="s">
        <v>110</v>
      </c>
      <c r="J280" s="1">
        <v>6</v>
      </c>
      <c r="K280" s="1" t="s">
        <v>171</v>
      </c>
      <c r="L280" s="1" t="s">
        <v>85</v>
      </c>
      <c r="M280" s="1" t="s">
        <v>85</v>
      </c>
      <c r="N280" s="1">
        <v>422.89</v>
      </c>
      <c r="O280" s="1" t="s">
        <v>164</v>
      </c>
    </row>
    <row r="281" spans="1:15" x14ac:dyDescent="0.35">
      <c r="A281" s="1" t="s">
        <v>125</v>
      </c>
      <c r="B281" s="1" t="s">
        <v>126</v>
      </c>
      <c r="C281" s="1">
        <v>2015</v>
      </c>
      <c r="D281" s="1">
        <v>2015</v>
      </c>
      <c r="E281" s="1">
        <v>2015</v>
      </c>
      <c r="F281" s="1" t="s">
        <v>291</v>
      </c>
      <c r="G281" s="1" t="s">
        <v>113</v>
      </c>
      <c r="H281" s="1" t="s">
        <v>222</v>
      </c>
      <c r="I281" s="1" t="s">
        <v>110</v>
      </c>
      <c r="J281" s="1">
        <v>8</v>
      </c>
      <c r="K281" s="1" t="s">
        <v>171</v>
      </c>
      <c r="L281" s="1" t="s">
        <v>85</v>
      </c>
      <c r="M281" s="1" t="s">
        <v>85</v>
      </c>
      <c r="N281" s="1">
        <v>1052.71</v>
      </c>
      <c r="O281" s="1" t="s">
        <v>164</v>
      </c>
    </row>
    <row r="282" spans="1:15" x14ac:dyDescent="0.35">
      <c r="A282" s="1" t="s">
        <v>125</v>
      </c>
      <c r="B282" s="1" t="s">
        <v>126</v>
      </c>
      <c r="C282" s="1">
        <v>2015</v>
      </c>
      <c r="D282" s="1">
        <v>2015</v>
      </c>
      <c r="E282" s="1">
        <v>2015</v>
      </c>
      <c r="F282" s="1" t="s">
        <v>291</v>
      </c>
      <c r="G282" s="1" t="s">
        <v>113</v>
      </c>
      <c r="H282" s="1" t="s">
        <v>109</v>
      </c>
      <c r="I282" s="1" t="s">
        <v>110</v>
      </c>
      <c r="J282" s="1">
        <v>10</v>
      </c>
      <c r="K282" s="1" t="s">
        <v>171</v>
      </c>
      <c r="L282" s="1" t="s">
        <v>85</v>
      </c>
      <c r="M282" s="1" t="s">
        <v>85</v>
      </c>
      <c r="N282" s="1">
        <v>1640.07</v>
      </c>
      <c r="O282" s="1" t="s">
        <v>164</v>
      </c>
    </row>
    <row r="283" spans="1:15" x14ac:dyDescent="0.35">
      <c r="A283" s="1" t="s">
        <v>125</v>
      </c>
      <c r="B283" s="1" t="s">
        <v>126</v>
      </c>
      <c r="C283" s="1">
        <v>2015</v>
      </c>
      <c r="D283" s="1">
        <v>2015</v>
      </c>
      <c r="E283" s="1">
        <v>2015</v>
      </c>
      <c r="F283" s="1" t="s">
        <v>292</v>
      </c>
      <c r="G283" s="1" t="s">
        <v>113</v>
      </c>
      <c r="H283" s="1" t="s">
        <v>109</v>
      </c>
      <c r="I283" s="1" t="s">
        <v>110</v>
      </c>
      <c r="J283" s="1">
        <f>5/8</f>
        <v>0.625</v>
      </c>
      <c r="K283" s="1" t="s">
        <v>171</v>
      </c>
      <c r="L283" s="1" t="s">
        <v>85</v>
      </c>
      <c r="M283" s="1" t="s">
        <v>85</v>
      </c>
      <c r="N283" s="1">
        <v>28.93</v>
      </c>
      <c r="O283" s="1" t="s">
        <v>164</v>
      </c>
    </row>
    <row r="284" spans="1:15" x14ac:dyDescent="0.35">
      <c r="A284" s="1" t="s">
        <v>125</v>
      </c>
      <c r="B284" s="1" t="s">
        <v>126</v>
      </c>
      <c r="C284" s="1">
        <v>2015</v>
      </c>
      <c r="D284" s="1">
        <v>2015</v>
      </c>
      <c r="E284" s="1">
        <v>2015</v>
      </c>
      <c r="F284" s="1" t="s">
        <v>292</v>
      </c>
      <c r="G284" s="1" t="s">
        <v>113</v>
      </c>
      <c r="H284" s="1" t="s">
        <v>109</v>
      </c>
      <c r="I284" s="1" t="s">
        <v>110</v>
      </c>
      <c r="J284" s="1">
        <v>0.75</v>
      </c>
      <c r="K284" s="1" t="s">
        <v>171</v>
      </c>
      <c r="L284" s="1" t="s">
        <v>85</v>
      </c>
      <c r="M284" s="1" t="s">
        <v>85</v>
      </c>
      <c r="N284" s="1">
        <v>39.51</v>
      </c>
      <c r="O284" s="1" t="s">
        <v>164</v>
      </c>
    </row>
    <row r="285" spans="1:15" x14ac:dyDescent="0.35">
      <c r="A285" s="1" t="s">
        <v>125</v>
      </c>
      <c r="B285" s="1" t="s">
        <v>126</v>
      </c>
      <c r="C285" s="1">
        <v>2015</v>
      </c>
      <c r="D285" s="1">
        <v>2015</v>
      </c>
      <c r="E285" s="1">
        <v>2015</v>
      </c>
      <c r="F285" s="1" t="s">
        <v>292</v>
      </c>
      <c r="G285" s="1" t="s">
        <v>113</v>
      </c>
      <c r="H285" s="1" t="s">
        <v>109</v>
      </c>
      <c r="I285" s="1" t="s">
        <v>110</v>
      </c>
      <c r="J285" s="1">
        <v>1</v>
      </c>
      <c r="K285" s="1" t="s">
        <v>171</v>
      </c>
      <c r="L285" s="1" t="s">
        <v>85</v>
      </c>
      <c r="M285" s="1" t="s">
        <v>85</v>
      </c>
      <c r="N285" s="1">
        <v>58.33</v>
      </c>
      <c r="O285" s="1" t="s">
        <v>164</v>
      </c>
    </row>
    <row r="286" spans="1:15" x14ac:dyDescent="0.35">
      <c r="A286" s="1" t="s">
        <v>125</v>
      </c>
      <c r="B286" s="1" t="s">
        <v>126</v>
      </c>
      <c r="C286" s="1">
        <v>2015</v>
      </c>
      <c r="D286" s="1">
        <v>2015</v>
      </c>
      <c r="E286" s="1">
        <v>2015</v>
      </c>
      <c r="F286" s="1" t="s">
        <v>292</v>
      </c>
      <c r="G286" s="1" t="s">
        <v>113</v>
      </c>
      <c r="H286" s="1" t="s">
        <v>109</v>
      </c>
      <c r="I286" s="1" t="s">
        <v>110</v>
      </c>
      <c r="J286" s="1">
        <v>1.25</v>
      </c>
      <c r="K286" s="1" t="s">
        <v>171</v>
      </c>
      <c r="L286" s="1" t="s">
        <v>85</v>
      </c>
      <c r="M286" s="1" t="s">
        <v>85</v>
      </c>
      <c r="N286" s="1">
        <v>73.959999999999994</v>
      </c>
      <c r="O286" s="1" t="s">
        <v>164</v>
      </c>
    </row>
    <row r="287" spans="1:15" x14ac:dyDescent="0.35">
      <c r="A287" s="1" t="s">
        <v>125</v>
      </c>
      <c r="B287" s="1" t="s">
        <v>126</v>
      </c>
      <c r="C287" s="1">
        <v>2015</v>
      </c>
      <c r="D287" s="1">
        <v>2015</v>
      </c>
      <c r="E287" s="1">
        <v>2015</v>
      </c>
      <c r="F287" s="1" t="s">
        <v>292</v>
      </c>
      <c r="G287" s="1" t="s">
        <v>113</v>
      </c>
      <c r="H287" s="1" t="s">
        <v>109</v>
      </c>
      <c r="I287" s="1" t="s">
        <v>110</v>
      </c>
      <c r="J287" s="1">
        <v>1.5</v>
      </c>
      <c r="K287" s="1" t="s">
        <v>171</v>
      </c>
      <c r="L287" s="1" t="s">
        <v>85</v>
      </c>
      <c r="M287" s="1" t="s">
        <v>85</v>
      </c>
      <c r="N287" s="1">
        <v>105.39</v>
      </c>
      <c r="O287" s="1" t="s">
        <v>164</v>
      </c>
    </row>
    <row r="288" spans="1:15" x14ac:dyDescent="0.35">
      <c r="A288" s="1" t="s">
        <v>125</v>
      </c>
      <c r="B288" s="1" t="s">
        <v>126</v>
      </c>
      <c r="C288" s="1">
        <v>2015</v>
      </c>
      <c r="D288" s="1">
        <v>2015</v>
      </c>
      <c r="E288" s="1">
        <v>2015</v>
      </c>
      <c r="F288" s="1" t="s">
        <v>292</v>
      </c>
      <c r="G288" s="1" t="s">
        <v>113</v>
      </c>
      <c r="H288" s="1" t="s">
        <v>109</v>
      </c>
      <c r="I288" s="1" t="s">
        <v>110</v>
      </c>
      <c r="J288" s="1">
        <v>2</v>
      </c>
      <c r="K288" s="1" t="s">
        <v>171</v>
      </c>
      <c r="L288" s="1" t="s">
        <v>85</v>
      </c>
      <c r="M288" s="1" t="s">
        <v>85</v>
      </c>
      <c r="N288" s="1">
        <v>161.86000000000001</v>
      </c>
      <c r="O288" s="1" t="s">
        <v>164</v>
      </c>
    </row>
    <row r="289" spans="1:15" x14ac:dyDescent="0.35">
      <c r="A289" s="1" t="s">
        <v>125</v>
      </c>
      <c r="B289" s="1" t="s">
        <v>126</v>
      </c>
      <c r="C289" s="1">
        <v>2015</v>
      </c>
      <c r="D289" s="1">
        <v>2015</v>
      </c>
      <c r="E289" s="1">
        <v>2015</v>
      </c>
      <c r="F289" s="1" t="s">
        <v>292</v>
      </c>
      <c r="G289" s="1" t="s">
        <v>113</v>
      </c>
      <c r="H289" s="1" t="s">
        <v>109</v>
      </c>
      <c r="I289" s="1" t="s">
        <v>110</v>
      </c>
      <c r="J289" s="1">
        <v>3</v>
      </c>
      <c r="K289" s="1" t="s">
        <v>171</v>
      </c>
      <c r="L289" s="1" t="s">
        <v>85</v>
      </c>
      <c r="M289" s="1" t="s">
        <v>85</v>
      </c>
      <c r="N289" s="1">
        <v>293.63</v>
      </c>
      <c r="O289" s="1" t="s">
        <v>164</v>
      </c>
    </row>
    <row r="290" spans="1:15" x14ac:dyDescent="0.35">
      <c r="A290" s="1" t="s">
        <v>125</v>
      </c>
      <c r="B290" s="1" t="s">
        <v>126</v>
      </c>
      <c r="C290" s="1">
        <v>2015</v>
      </c>
      <c r="D290" s="1">
        <v>2015</v>
      </c>
      <c r="E290" s="1">
        <v>2015</v>
      </c>
      <c r="F290" s="1" t="s">
        <v>292</v>
      </c>
      <c r="G290" s="1" t="s">
        <v>113</v>
      </c>
      <c r="H290" s="1" t="s">
        <v>109</v>
      </c>
      <c r="I290" s="1" t="s">
        <v>110</v>
      </c>
      <c r="J290" s="1">
        <v>4</v>
      </c>
      <c r="K290" s="1" t="s">
        <v>171</v>
      </c>
      <c r="L290" s="1" t="s">
        <v>85</v>
      </c>
      <c r="M290" s="1" t="s">
        <v>85</v>
      </c>
      <c r="N290" s="1">
        <v>481.87</v>
      </c>
      <c r="O290" s="1" t="s">
        <v>164</v>
      </c>
    </row>
    <row r="291" spans="1:15" x14ac:dyDescent="0.35">
      <c r="A291" s="1" t="s">
        <v>125</v>
      </c>
      <c r="B291" s="1" t="s">
        <v>126</v>
      </c>
      <c r="C291" s="1">
        <v>2015</v>
      </c>
      <c r="D291" s="1">
        <v>2015</v>
      </c>
      <c r="E291" s="1">
        <v>2015</v>
      </c>
      <c r="F291" s="1" t="s">
        <v>292</v>
      </c>
      <c r="G291" s="1" t="s">
        <v>113</v>
      </c>
      <c r="H291" s="1" t="s">
        <v>109</v>
      </c>
      <c r="I291" s="1" t="s">
        <v>110</v>
      </c>
      <c r="J291" s="1">
        <v>6</v>
      </c>
      <c r="K291" s="1" t="s">
        <v>171</v>
      </c>
      <c r="L291" s="1" t="s">
        <v>85</v>
      </c>
      <c r="M291" s="1" t="s">
        <v>85</v>
      </c>
      <c r="N291" s="1">
        <v>952.47</v>
      </c>
      <c r="O291" s="1" t="s">
        <v>164</v>
      </c>
    </row>
    <row r="292" spans="1:15" x14ac:dyDescent="0.35">
      <c r="A292" s="1" t="s">
        <v>125</v>
      </c>
      <c r="B292" s="1" t="s">
        <v>126</v>
      </c>
      <c r="C292" s="1">
        <v>2015</v>
      </c>
      <c r="D292" s="1">
        <v>2015</v>
      </c>
      <c r="E292" s="1">
        <v>2015</v>
      </c>
      <c r="F292" s="1" t="s">
        <v>292</v>
      </c>
      <c r="G292" s="1" t="s">
        <v>113</v>
      </c>
      <c r="H292" s="1" t="s">
        <v>109</v>
      </c>
      <c r="I292" s="1" t="s">
        <v>110</v>
      </c>
      <c r="J292" s="1">
        <v>8</v>
      </c>
      <c r="K292" s="1" t="s">
        <v>171</v>
      </c>
      <c r="L292" s="1" t="s">
        <v>85</v>
      </c>
      <c r="M292" s="1" t="s">
        <v>85</v>
      </c>
      <c r="N292" s="1">
        <v>1517.19</v>
      </c>
      <c r="O292" s="1" t="s">
        <v>164</v>
      </c>
    </row>
    <row r="293" spans="1:15" x14ac:dyDescent="0.35">
      <c r="A293" s="1" t="s">
        <v>125</v>
      </c>
      <c r="B293" s="1" t="s">
        <v>126</v>
      </c>
      <c r="C293" s="1">
        <v>2015</v>
      </c>
      <c r="D293" s="1">
        <v>2015</v>
      </c>
      <c r="E293" s="1">
        <v>2015</v>
      </c>
      <c r="F293" s="1" t="s">
        <v>292</v>
      </c>
      <c r="G293" s="1" t="s">
        <v>113</v>
      </c>
      <c r="H293" s="1" t="s">
        <v>109</v>
      </c>
      <c r="I293" s="1" t="s">
        <v>110</v>
      </c>
      <c r="J293" s="1">
        <v>10</v>
      </c>
      <c r="K293" s="1" t="s">
        <v>171</v>
      </c>
      <c r="L293" s="1" t="s">
        <v>85</v>
      </c>
      <c r="M293" s="1" t="s">
        <v>85</v>
      </c>
      <c r="N293" s="1">
        <v>2176.0300000000002</v>
      </c>
      <c r="O293" s="1" t="s">
        <v>164</v>
      </c>
    </row>
    <row r="294" spans="1:15" x14ac:dyDescent="0.35">
      <c r="A294" s="1" t="s">
        <v>125</v>
      </c>
      <c r="B294" s="1" t="s">
        <v>126</v>
      </c>
      <c r="C294" s="1">
        <v>2015</v>
      </c>
      <c r="D294" s="1">
        <v>2015</v>
      </c>
      <c r="E294" s="1">
        <v>2015</v>
      </c>
      <c r="F294" s="1" t="s">
        <v>103</v>
      </c>
      <c r="G294" s="1" t="s">
        <v>113</v>
      </c>
      <c r="H294" s="1" t="s">
        <v>111</v>
      </c>
      <c r="I294" s="1" t="s">
        <v>294</v>
      </c>
      <c r="J294" s="1" t="s">
        <v>85</v>
      </c>
      <c r="K294" s="1" t="s">
        <v>85</v>
      </c>
      <c r="L294" s="1" t="s">
        <v>85</v>
      </c>
      <c r="M294" s="1" t="s">
        <v>85</v>
      </c>
      <c r="N294" s="1">
        <v>5.51</v>
      </c>
      <c r="O294" s="1" t="s">
        <v>172</v>
      </c>
    </row>
    <row r="295" spans="1:15" x14ac:dyDescent="0.35">
      <c r="A295" s="1" t="s">
        <v>125</v>
      </c>
      <c r="B295" s="1" t="s">
        <v>126</v>
      </c>
      <c r="C295" s="1">
        <v>2015</v>
      </c>
      <c r="D295" s="1">
        <v>2015</v>
      </c>
      <c r="E295" s="1">
        <v>2015</v>
      </c>
      <c r="F295" s="1" t="s">
        <v>292</v>
      </c>
      <c r="G295" s="1" t="s">
        <v>113</v>
      </c>
      <c r="H295" s="1" t="s">
        <v>111</v>
      </c>
      <c r="I295" s="1" t="s">
        <v>294</v>
      </c>
      <c r="J295" s="1" t="s">
        <v>85</v>
      </c>
      <c r="K295" s="1" t="s">
        <v>85</v>
      </c>
      <c r="L295" s="1" t="s">
        <v>85</v>
      </c>
      <c r="M295" s="1" t="s">
        <v>85</v>
      </c>
      <c r="N295" s="1" t="s">
        <v>85</v>
      </c>
      <c r="O295" s="1" t="s">
        <v>172</v>
      </c>
    </row>
    <row r="296" spans="1:15" x14ac:dyDescent="0.35">
      <c r="A296" s="1" t="s">
        <v>125</v>
      </c>
      <c r="B296" s="1" t="s">
        <v>126</v>
      </c>
      <c r="C296" s="1">
        <v>2015</v>
      </c>
      <c r="D296" s="1">
        <v>2015</v>
      </c>
      <c r="E296" s="1">
        <v>2015</v>
      </c>
      <c r="F296" s="1" t="s">
        <v>103</v>
      </c>
      <c r="G296" s="1" t="s">
        <v>113</v>
      </c>
      <c r="H296" s="1" t="s">
        <v>111</v>
      </c>
      <c r="I296" s="1" t="s">
        <v>293</v>
      </c>
      <c r="J296" s="1">
        <v>750000</v>
      </c>
      <c r="K296" s="1" t="s">
        <v>112</v>
      </c>
      <c r="L296" s="1" t="s">
        <v>85</v>
      </c>
      <c r="M296" s="1" t="s">
        <v>85</v>
      </c>
      <c r="N296" s="1">
        <v>6.77</v>
      </c>
      <c r="O296" s="1" t="s">
        <v>172</v>
      </c>
    </row>
    <row r="297" spans="1:15" x14ac:dyDescent="0.35">
      <c r="A297" s="1" t="s">
        <v>125</v>
      </c>
      <c r="B297" s="1" t="s">
        <v>126</v>
      </c>
      <c r="C297" s="1">
        <v>2015</v>
      </c>
      <c r="D297" s="1">
        <v>2015</v>
      </c>
      <c r="E297" s="1">
        <v>2015</v>
      </c>
      <c r="F297" s="1" t="s">
        <v>103</v>
      </c>
      <c r="G297" s="1" t="s">
        <v>113</v>
      </c>
      <c r="H297" s="1" t="s">
        <v>111</v>
      </c>
      <c r="I297" s="1" t="s">
        <v>293</v>
      </c>
      <c r="J297" s="1">
        <v>3750000</v>
      </c>
      <c r="K297" s="1" t="s">
        <v>112</v>
      </c>
      <c r="L297" s="1" t="s">
        <v>85</v>
      </c>
      <c r="M297" s="1" t="s">
        <v>85</v>
      </c>
      <c r="N297" s="1">
        <v>5.92</v>
      </c>
      <c r="O297" s="1" t="s">
        <v>172</v>
      </c>
    </row>
    <row r="298" spans="1:15" x14ac:dyDescent="0.35">
      <c r="A298" s="1" t="s">
        <v>125</v>
      </c>
      <c r="B298" s="1" t="s">
        <v>126</v>
      </c>
      <c r="C298" s="1">
        <v>2015</v>
      </c>
      <c r="D298" s="1">
        <v>2015</v>
      </c>
      <c r="E298" s="1">
        <v>2015</v>
      </c>
      <c r="F298" s="1" t="s">
        <v>103</v>
      </c>
      <c r="G298" s="1" t="s">
        <v>113</v>
      </c>
      <c r="H298" s="1" t="s">
        <v>111</v>
      </c>
      <c r="I298" s="1" t="s">
        <v>293</v>
      </c>
      <c r="J298" s="1" t="s">
        <v>174</v>
      </c>
      <c r="K298" s="1" t="s">
        <v>112</v>
      </c>
      <c r="L298" s="1" t="s">
        <v>85</v>
      </c>
      <c r="M298" s="1" t="s">
        <v>85</v>
      </c>
      <c r="N298" s="1">
        <v>5</v>
      </c>
      <c r="O298" s="1" t="s">
        <v>172</v>
      </c>
    </row>
    <row r="299" spans="1:15" x14ac:dyDescent="0.35">
      <c r="A299" s="1" t="s">
        <v>125</v>
      </c>
      <c r="B299" s="1" t="s">
        <v>126</v>
      </c>
      <c r="C299" s="1">
        <v>2015</v>
      </c>
      <c r="D299" s="1">
        <v>2015</v>
      </c>
      <c r="E299" s="1">
        <v>2015</v>
      </c>
      <c r="F299" s="1" t="s">
        <v>292</v>
      </c>
      <c r="G299" s="1" t="s">
        <v>113</v>
      </c>
      <c r="H299" s="1" t="s">
        <v>111</v>
      </c>
      <c r="I299" s="1" t="s">
        <v>293</v>
      </c>
      <c r="J299" s="1">
        <v>750000</v>
      </c>
      <c r="K299" s="1" t="s">
        <v>112</v>
      </c>
      <c r="L299" s="1" t="s">
        <v>85</v>
      </c>
      <c r="M299" s="1" t="s">
        <v>85</v>
      </c>
      <c r="N299" s="1" t="s">
        <v>85</v>
      </c>
      <c r="O299" s="1" t="s">
        <v>172</v>
      </c>
    </row>
    <row r="300" spans="1:15" x14ac:dyDescent="0.35">
      <c r="A300" s="1" t="s">
        <v>125</v>
      </c>
      <c r="B300" s="1" t="s">
        <v>126</v>
      </c>
      <c r="C300" s="1">
        <v>2015</v>
      </c>
      <c r="D300" s="1">
        <v>2015</v>
      </c>
      <c r="E300" s="1">
        <v>2015</v>
      </c>
      <c r="F300" s="1" t="s">
        <v>292</v>
      </c>
      <c r="G300" s="1" t="s">
        <v>113</v>
      </c>
      <c r="H300" s="1" t="s">
        <v>111</v>
      </c>
      <c r="I300" s="1" t="s">
        <v>293</v>
      </c>
      <c r="J300" s="1">
        <v>3750000</v>
      </c>
      <c r="K300" s="1" t="s">
        <v>112</v>
      </c>
      <c r="L300" s="1" t="s">
        <v>85</v>
      </c>
      <c r="M300" s="1" t="s">
        <v>85</v>
      </c>
      <c r="N300" s="1" t="s">
        <v>85</v>
      </c>
      <c r="O300" s="1" t="s">
        <v>172</v>
      </c>
    </row>
    <row r="301" spans="1:15" x14ac:dyDescent="0.35">
      <c r="A301" s="1" t="s">
        <v>125</v>
      </c>
      <c r="B301" s="1" t="s">
        <v>126</v>
      </c>
      <c r="C301" s="1">
        <v>2015</v>
      </c>
      <c r="D301" s="1">
        <v>2015</v>
      </c>
      <c r="E301" s="1">
        <v>2015</v>
      </c>
      <c r="F301" s="1" t="s">
        <v>292</v>
      </c>
      <c r="G301" s="1" t="s">
        <v>113</v>
      </c>
      <c r="H301" s="1" t="s">
        <v>111</v>
      </c>
      <c r="I301" s="1" t="s">
        <v>293</v>
      </c>
      <c r="J301" s="1" t="s">
        <v>174</v>
      </c>
      <c r="K301" s="1" t="s">
        <v>112</v>
      </c>
      <c r="L301" s="1" t="s">
        <v>85</v>
      </c>
      <c r="M301" s="1" t="s">
        <v>85</v>
      </c>
      <c r="N301" s="1" t="s">
        <v>85</v>
      </c>
      <c r="O301" s="1" t="s">
        <v>172</v>
      </c>
    </row>
    <row r="302" spans="1:15" x14ac:dyDescent="0.35">
      <c r="A302" s="1" t="s">
        <v>125</v>
      </c>
      <c r="B302" s="1" t="s">
        <v>126</v>
      </c>
      <c r="C302" s="1" t="s">
        <v>85</v>
      </c>
      <c r="D302" s="1">
        <v>2016</v>
      </c>
      <c r="E302" s="1">
        <v>2016</v>
      </c>
      <c r="F302" s="1" t="s">
        <v>103</v>
      </c>
      <c r="G302" s="1" t="s">
        <v>113</v>
      </c>
      <c r="H302" s="1" t="s">
        <v>109</v>
      </c>
      <c r="I302" s="1" t="s">
        <v>110</v>
      </c>
      <c r="J302" s="1">
        <f>5/8</f>
        <v>0.625</v>
      </c>
      <c r="K302" s="1" t="s">
        <v>171</v>
      </c>
      <c r="L302" s="1" t="s">
        <v>85</v>
      </c>
      <c r="M302" s="1" t="s">
        <v>85</v>
      </c>
      <c r="N302" s="1">
        <v>10.72</v>
      </c>
      <c r="O302" s="1" t="s">
        <v>164</v>
      </c>
    </row>
    <row r="303" spans="1:15" x14ac:dyDescent="0.35">
      <c r="A303" s="1" t="s">
        <v>125</v>
      </c>
      <c r="B303" s="1" t="s">
        <v>126</v>
      </c>
      <c r="C303" s="1" t="s">
        <v>85</v>
      </c>
      <c r="D303" s="1">
        <v>2016</v>
      </c>
      <c r="E303" s="1">
        <v>2016</v>
      </c>
      <c r="F303" s="1" t="s">
        <v>103</v>
      </c>
      <c r="G303" s="1" t="s">
        <v>113</v>
      </c>
      <c r="H303" s="1" t="s">
        <v>109</v>
      </c>
      <c r="I303" s="1" t="s">
        <v>110</v>
      </c>
      <c r="J303" s="1">
        <v>0.75</v>
      </c>
      <c r="K303" s="1" t="s">
        <v>171</v>
      </c>
      <c r="L303" s="1" t="s">
        <v>85</v>
      </c>
      <c r="M303" s="1" t="s">
        <v>85</v>
      </c>
      <c r="N303" s="1">
        <v>24.69</v>
      </c>
      <c r="O303" s="1" t="s">
        <v>164</v>
      </c>
    </row>
    <row r="304" spans="1:15" x14ac:dyDescent="0.35">
      <c r="A304" s="1" t="s">
        <v>125</v>
      </c>
      <c r="B304" s="1" t="s">
        <v>126</v>
      </c>
      <c r="C304" s="1" t="s">
        <v>85</v>
      </c>
      <c r="D304" s="1">
        <v>2016</v>
      </c>
      <c r="E304" s="1">
        <v>2016</v>
      </c>
      <c r="F304" s="1" t="s">
        <v>103</v>
      </c>
      <c r="G304" s="1" t="s">
        <v>113</v>
      </c>
      <c r="H304" s="1" t="s">
        <v>109</v>
      </c>
      <c r="I304" s="1" t="s">
        <v>110</v>
      </c>
      <c r="J304" s="1">
        <v>1</v>
      </c>
      <c r="K304" s="1" t="s">
        <v>171</v>
      </c>
      <c r="L304" s="1" t="s">
        <v>85</v>
      </c>
      <c r="M304" s="1" t="s">
        <v>85</v>
      </c>
      <c r="N304" s="1">
        <v>41.65</v>
      </c>
      <c r="O304" s="1" t="s">
        <v>164</v>
      </c>
    </row>
    <row r="305" spans="1:15" x14ac:dyDescent="0.35">
      <c r="A305" s="1" t="s">
        <v>125</v>
      </c>
      <c r="B305" s="1" t="s">
        <v>126</v>
      </c>
      <c r="C305" s="1" t="s">
        <v>85</v>
      </c>
      <c r="D305" s="1">
        <v>2016</v>
      </c>
      <c r="E305" s="1">
        <v>2016</v>
      </c>
      <c r="F305" s="1" t="s">
        <v>103</v>
      </c>
      <c r="G305" s="1" t="s">
        <v>113</v>
      </c>
      <c r="H305" s="1" t="s">
        <v>109</v>
      </c>
      <c r="I305" s="1" t="s">
        <v>110</v>
      </c>
      <c r="J305" s="1">
        <v>1.25</v>
      </c>
      <c r="K305" s="1" t="s">
        <v>171</v>
      </c>
      <c r="L305" s="1" t="s">
        <v>85</v>
      </c>
      <c r="M305" s="1" t="s">
        <v>85</v>
      </c>
      <c r="N305" s="1">
        <v>65.22</v>
      </c>
      <c r="O305" s="1" t="s">
        <v>164</v>
      </c>
    </row>
    <row r="306" spans="1:15" x14ac:dyDescent="0.35">
      <c r="A306" s="1" t="s">
        <v>125</v>
      </c>
      <c r="B306" s="1" t="s">
        <v>126</v>
      </c>
      <c r="C306" s="1" t="s">
        <v>85</v>
      </c>
      <c r="D306" s="1">
        <v>2016</v>
      </c>
      <c r="E306" s="1">
        <v>2016</v>
      </c>
      <c r="F306" s="1" t="s">
        <v>103</v>
      </c>
      <c r="G306" s="1" t="s">
        <v>113</v>
      </c>
      <c r="H306" s="1" t="s">
        <v>109</v>
      </c>
      <c r="I306" s="1" t="s">
        <v>110</v>
      </c>
      <c r="J306" s="1">
        <v>1.5</v>
      </c>
      <c r="K306" s="1" t="s">
        <v>171</v>
      </c>
      <c r="L306" s="1" t="s">
        <v>85</v>
      </c>
      <c r="M306" s="1" t="s">
        <v>85</v>
      </c>
      <c r="N306" s="1">
        <v>74.59</v>
      </c>
      <c r="O306" s="1" t="s">
        <v>164</v>
      </c>
    </row>
    <row r="307" spans="1:15" x14ac:dyDescent="0.35">
      <c r="A307" s="1" t="s">
        <v>125</v>
      </c>
      <c r="B307" s="1" t="s">
        <v>126</v>
      </c>
      <c r="C307" s="1" t="s">
        <v>85</v>
      </c>
      <c r="D307" s="1">
        <v>2016</v>
      </c>
      <c r="E307" s="1">
        <v>2016</v>
      </c>
      <c r="F307" s="1" t="s">
        <v>103</v>
      </c>
      <c r="G307" s="1" t="s">
        <v>113</v>
      </c>
      <c r="H307" s="1" t="s">
        <v>109</v>
      </c>
      <c r="I307" s="1" t="s">
        <v>110</v>
      </c>
      <c r="J307" s="1">
        <v>2</v>
      </c>
      <c r="K307" s="1" t="s">
        <v>171</v>
      </c>
      <c r="L307" s="1" t="s">
        <v>85</v>
      </c>
      <c r="M307" s="1" t="s">
        <v>85</v>
      </c>
      <c r="N307" s="1">
        <v>122.9</v>
      </c>
      <c r="O307" s="1" t="s">
        <v>164</v>
      </c>
    </row>
    <row r="308" spans="1:15" x14ac:dyDescent="0.35">
      <c r="A308" s="1" t="s">
        <v>125</v>
      </c>
      <c r="B308" s="1" t="s">
        <v>126</v>
      </c>
      <c r="C308" s="1" t="s">
        <v>85</v>
      </c>
      <c r="D308" s="1">
        <v>2016</v>
      </c>
      <c r="E308" s="1">
        <v>2016</v>
      </c>
      <c r="F308" s="1" t="s">
        <v>103</v>
      </c>
      <c r="G308" s="1" t="s">
        <v>113</v>
      </c>
      <c r="H308" s="1" t="s">
        <v>109</v>
      </c>
      <c r="I308" s="1" t="s">
        <v>110</v>
      </c>
      <c r="J308" s="1">
        <v>3</v>
      </c>
      <c r="K308" s="1" t="s">
        <v>171</v>
      </c>
      <c r="L308" s="1" t="s">
        <v>85</v>
      </c>
      <c r="M308" s="1" t="s">
        <v>85</v>
      </c>
      <c r="N308" s="1">
        <v>239.51</v>
      </c>
      <c r="O308" s="1" t="s">
        <v>164</v>
      </c>
    </row>
    <row r="309" spans="1:15" x14ac:dyDescent="0.35">
      <c r="A309" s="1" t="s">
        <v>125</v>
      </c>
      <c r="B309" s="1" t="s">
        <v>126</v>
      </c>
      <c r="C309" s="1" t="s">
        <v>85</v>
      </c>
      <c r="D309" s="1">
        <v>2016</v>
      </c>
      <c r="E309" s="1">
        <v>2016</v>
      </c>
      <c r="F309" s="1" t="s">
        <v>103</v>
      </c>
      <c r="G309" s="1" t="s">
        <v>113</v>
      </c>
      <c r="H309" s="1" t="s">
        <v>109</v>
      </c>
      <c r="I309" s="1" t="s">
        <v>110</v>
      </c>
      <c r="J309" s="1">
        <v>4</v>
      </c>
      <c r="K309" s="1" t="s">
        <v>171</v>
      </c>
      <c r="L309" s="1" t="s">
        <v>85</v>
      </c>
      <c r="M309" s="1" t="s">
        <v>85</v>
      </c>
      <c r="N309" s="1">
        <v>297.20999999999998</v>
      </c>
      <c r="O309" s="1" t="s">
        <v>164</v>
      </c>
    </row>
    <row r="310" spans="1:15" x14ac:dyDescent="0.35">
      <c r="A310" s="1" t="s">
        <v>125</v>
      </c>
      <c r="B310" s="1" t="s">
        <v>126</v>
      </c>
      <c r="C310" s="1" t="s">
        <v>85</v>
      </c>
      <c r="D310" s="1">
        <v>2016</v>
      </c>
      <c r="E310" s="1">
        <v>2016</v>
      </c>
      <c r="F310" s="1" t="s">
        <v>103</v>
      </c>
      <c r="G310" s="1" t="s">
        <v>113</v>
      </c>
      <c r="H310" s="1" t="s">
        <v>109</v>
      </c>
      <c r="I310" s="1" t="s">
        <v>110</v>
      </c>
      <c r="J310" s="1">
        <v>6</v>
      </c>
      <c r="K310" s="1" t="s">
        <v>171</v>
      </c>
      <c r="L310" s="1" t="s">
        <v>85</v>
      </c>
      <c r="M310" s="1" t="s">
        <v>85</v>
      </c>
      <c r="N310" s="1">
        <v>586.79999999999995</v>
      </c>
      <c r="O310" s="1" t="s">
        <v>164</v>
      </c>
    </row>
    <row r="311" spans="1:15" x14ac:dyDescent="0.35">
      <c r="A311" s="1" t="s">
        <v>125</v>
      </c>
      <c r="B311" s="1" t="s">
        <v>126</v>
      </c>
      <c r="C311" s="1" t="s">
        <v>85</v>
      </c>
      <c r="D311" s="1">
        <v>2016</v>
      </c>
      <c r="E311" s="1">
        <v>2016</v>
      </c>
      <c r="F311" s="1" t="s">
        <v>103</v>
      </c>
      <c r="G311" s="1" t="s">
        <v>113</v>
      </c>
      <c r="H311" s="1" t="s">
        <v>109</v>
      </c>
      <c r="I311" s="1" t="s">
        <v>110</v>
      </c>
      <c r="J311" s="1">
        <v>8</v>
      </c>
      <c r="K311" s="1" t="s">
        <v>171</v>
      </c>
      <c r="L311" s="1" t="s">
        <v>85</v>
      </c>
      <c r="M311" s="1" t="s">
        <v>85</v>
      </c>
      <c r="N311" s="1">
        <v>1460.82</v>
      </c>
      <c r="O311" s="1" t="s">
        <v>164</v>
      </c>
    </row>
    <row r="312" spans="1:15" x14ac:dyDescent="0.35">
      <c r="A312" s="1" t="s">
        <v>125</v>
      </c>
      <c r="B312" s="1" t="s">
        <v>126</v>
      </c>
      <c r="C312" s="1" t="s">
        <v>85</v>
      </c>
      <c r="D312" s="1">
        <v>2016</v>
      </c>
      <c r="E312" s="1">
        <v>2016</v>
      </c>
      <c r="F312" s="1" t="s">
        <v>103</v>
      </c>
      <c r="G312" s="1" t="s">
        <v>113</v>
      </c>
      <c r="H312" s="1" t="s">
        <v>109</v>
      </c>
      <c r="I312" s="1" t="s">
        <v>110</v>
      </c>
      <c r="J312" s="1">
        <v>10</v>
      </c>
      <c r="K312" s="1" t="s">
        <v>171</v>
      </c>
      <c r="L312" s="1" t="s">
        <v>85</v>
      </c>
      <c r="M312" s="1" t="s">
        <v>85</v>
      </c>
      <c r="N312" s="1">
        <v>2275.83</v>
      </c>
      <c r="O312" s="1" t="s">
        <v>164</v>
      </c>
    </row>
    <row r="313" spans="1:15" x14ac:dyDescent="0.35">
      <c r="A313" s="1" t="s">
        <v>125</v>
      </c>
      <c r="B313" s="1" t="s">
        <v>126</v>
      </c>
      <c r="C313" s="1" t="s">
        <v>85</v>
      </c>
      <c r="D313" s="1">
        <v>2016</v>
      </c>
      <c r="E313" s="1">
        <v>2016</v>
      </c>
      <c r="F313" s="1" t="s">
        <v>291</v>
      </c>
      <c r="G313" s="1" t="s">
        <v>113</v>
      </c>
      <c r="H313" s="1" t="s">
        <v>222</v>
      </c>
      <c r="I313" s="1" t="s">
        <v>110</v>
      </c>
      <c r="J313" s="1">
        <f>5/8</f>
        <v>0.625</v>
      </c>
      <c r="K313" s="1" t="s">
        <v>171</v>
      </c>
      <c r="L313" s="1" t="s">
        <v>85</v>
      </c>
      <c r="M313" s="1" t="s">
        <v>85</v>
      </c>
      <c r="N313" s="1">
        <v>7.88</v>
      </c>
      <c r="O313" s="1" t="s">
        <v>164</v>
      </c>
    </row>
    <row r="314" spans="1:15" x14ac:dyDescent="0.35">
      <c r="A314" s="1" t="s">
        <v>125</v>
      </c>
      <c r="B314" s="1" t="s">
        <v>126</v>
      </c>
      <c r="C314" s="1" t="s">
        <v>85</v>
      </c>
      <c r="D314" s="1">
        <v>2016</v>
      </c>
      <c r="E314" s="1">
        <v>2016</v>
      </c>
      <c r="F314" s="1" t="s">
        <v>291</v>
      </c>
      <c r="G314" s="1" t="s">
        <v>113</v>
      </c>
      <c r="H314" s="1" t="s">
        <v>222</v>
      </c>
      <c r="I314" s="1" t="s">
        <v>110</v>
      </c>
      <c r="J314" s="1">
        <v>0.75</v>
      </c>
      <c r="K314" s="1" t="s">
        <v>171</v>
      </c>
      <c r="L314" s="1" t="s">
        <v>85</v>
      </c>
      <c r="M314" s="1" t="s">
        <v>85</v>
      </c>
      <c r="N314" s="1">
        <v>9.2799999999999994</v>
      </c>
      <c r="O314" s="1" t="s">
        <v>164</v>
      </c>
    </row>
    <row r="315" spans="1:15" x14ac:dyDescent="0.35">
      <c r="A315" s="1" t="s">
        <v>125</v>
      </c>
      <c r="B315" s="1" t="s">
        <v>126</v>
      </c>
      <c r="C315" s="1" t="s">
        <v>85</v>
      </c>
      <c r="D315" s="1">
        <v>2016</v>
      </c>
      <c r="E315" s="1">
        <v>2016</v>
      </c>
      <c r="F315" s="1" t="s">
        <v>291</v>
      </c>
      <c r="G315" s="1" t="s">
        <v>113</v>
      </c>
      <c r="H315" s="1" t="s">
        <v>222</v>
      </c>
      <c r="I315" s="1" t="s">
        <v>110</v>
      </c>
      <c r="J315" s="1">
        <v>1</v>
      </c>
      <c r="K315" s="1" t="s">
        <v>171</v>
      </c>
      <c r="L315" s="1" t="s">
        <v>85</v>
      </c>
      <c r="M315" s="1" t="s">
        <v>85</v>
      </c>
      <c r="N315" s="1">
        <v>36.4</v>
      </c>
      <c r="O315" s="1" t="s">
        <v>164</v>
      </c>
    </row>
    <row r="316" spans="1:15" x14ac:dyDescent="0.35">
      <c r="A316" s="1" t="s">
        <v>125</v>
      </c>
      <c r="B316" s="1" t="s">
        <v>126</v>
      </c>
      <c r="C316" s="1" t="s">
        <v>85</v>
      </c>
      <c r="D316" s="1">
        <v>2016</v>
      </c>
      <c r="E316" s="1">
        <v>2016</v>
      </c>
      <c r="F316" s="1" t="s">
        <v>291</v>
      </c>
      <c r="G316" s="1" t="s">
        <v>113</v>
      </c>
      <c r="H316" s="1" t="s">
        <v>222</v>
      </c>
      <c r="I316" s="1" t="s">
        <v>110</v>
      </c>
      <c r="J316" s="1">
        <v>1.25</v>
      </c>
      <c r="K316" s="1" t="s">
        <v>171</v>
      </c>
      <c r="L316" s="1" t="s">
        <v>85</v>
      </c>
      <c r="M316" s="1" t="s">
        <v>85</v>
      </c>
      <c r="N316" s="1">
        <v>57</v>
      </c>
      <c r="O316" s="1" t="s">
        <v>164</v>
      </c>
    </row>
    <row r="317" spans="1:15" x14ac:dyDescent="0.35">
      <c r="A317" s="1" t="s">
        <v>125</v>
      </c>
      <c r="B317" s="1" t="s">
        <v>126</v>
      </c>
      <c r="C317" s="1" t="s">
        <v>85</v>
      </c>
      <c r="D317" s="1">
        <v>2016</v>
      </c>
      <c r="E317" s="1">
        <v>2016</v>
      </c>
      <c r="F317" s="1" t="s">
        <v>291</v>
      </c>
      <c r="G317" s="1" t="s">
        <v>113</v>
      </c>
      <c r="H317" s="1" t="s">
        <v>222</v>
      </c>
      <c r="I317" s="1" t="s">
        <v>110</v>
      </c>
      <c r="J317" s="1">
        <v>1.5</v>
      </c>
      <c r="K317" s="1" t="s">
        <v>171</v>
      </c>
      <c r="L317" s="1" t="s">
        <v>85</v>
      </c>
      <c r="M317" s="1" t="s">
        <v>85</v>
      </c>
      <c r="N317" s="1">
        <v>65.180000000000007</v>
      </c>
      <c r="O317" s="1" t="s">
        <v>164</v>
      </c>
    </row>
    <row r="318" spans="1:15" x14ac:dyDescent="0.35">
      <c r="A318" s="1" t="s">
        <v>125</v>
      </c>
      <c r="B318" s="1" t="s">
        <v>126</v>
      </c>
      <c r="C318" s="1" t="s">
        <v>85</v>
      </c>
      <c r="D318" s="1">
        <v>2016</v>
      </c>
      <c r="E318" s="1">
        <v>2016</v>
      </c>
      <c r="F318" s="1" t="s">
        <v>291</v>
      </c>
      <c r="G318" s="1" t="s">
        <v>113</v>
      </c>
      <c r="H318" s="1" t="s">
        <v>222</v>
      </c>
      <c r="I318" s="1" t="s">
        <v>110</v>
      </c>
      <c r="J318" s="1">
        <v>2</v>
      </c>
      <c r="K318" s="1" t="s">
        <v>171</v>
      </c>
      <c r="L318" s="1" t="s">
        <v>85</v>
      </c>
      <c r="M318" s="1" t="s">
        <v>85</v>
      </c>
      <c r="N318" s="1">
        <v>107.37</v>
      </c>
      <c r="O318" s="1" t="s">
        <v>164</v>
      </c>
    </row>
    <row r="319" spans="1:15" x14ac:dyDescent="0.35">
      <c r="A319" s="1" t="s">
        <v>125</v>
      </c>
      <c r="B319" s="1" t="s">
        <v>126</v>
      </c>
      <c r="C319" s="1" t="s">
        <v>85</v>
      </c>
      <c r="D319" s="1">
        <v>2016</v>
      </c>
      <c r="E319" s="1">
        <v>2016</v>
      </c>
      <c r="F319" s="1" t="s">
        <v>291</v>
      </c>
      <c r="G319" s="1" t="s">
        <v>113</v>
      </c>
      <c r="H319" s="1" t="s">
        <v>222</v>
      </c>
      <c r="I319" s="1" t="s">
        <v>110</v>
      </c>
      <c r="J319" s="1">
        <v>3</v>
      </c>
      <c r="K319" s="1" t="s">
        <v>171</v>
      </c>
      <c r="L319" s="1" t="s">
        <v>85</v>
      </c>
      <c r="M319" s="1" t="s">
        <v>85</v>
      </c>
      <c r="N319" s="1">
        <v>209.29</v>
      </c>
      <c r="O319" s="1" t="s">
        <v>164</v>
      </c>
    </row>
    <row r="320" spans="1:15" x14ac:dyDescent="0.35">
      <c r="A320" s="1" t="s">
        <v>125</v>
      </c>
      <c r="B320" s="1" t="s">
        <v>126</v>
      </c>
      <c r="C320" s="1" t="s">
        <v>85</v>
      </c>
      <c r="D320" s="1">
        <v>2016</v>
      </c>
      <c r="E320" s="1">
        <v>2016</v>
      </c>
      <c r="F320" s="1" t="s">
        <v>291</v>
      </c>
      <c r="G320" s="1" t="s">
        <v>113</v>
      </c>
      <c r="H320" s="1" t="s">
        <v>222</v>
      </c>
      <c r="I320" s="1" t="s">
        <v>110</v>
      </c>
      <c r="J320" s="1">
        <v>4</v>
      </c>
      <c r="K320" s="1" t="s">
        <v>171</v>
      </c>
      <c r="L320" s="1" t="s">
        <v>85</v>
      </c>
      <c r="M320" s="1" t="s">
        <v>85</v>
      </c>
      <c r="N320" s="1">
        <v>259.67</v>
      </c>
      <c r="O320" s="1" t="s">
        <v>164</v>
      </c>
    </row>
    <row r="321" spans="1:15" x14ac:dyDescent="0.35">
      <c r="A321" s="1" t="s">
        <v>125</v>
      </c>
      <c r="B321" s="1" t="s">
        <v>126</v>
      </c>
      <c r="C321" s="1" t="s">
        <v>85</v>
      </c>
      <c r="D321" s="1">
        <v>2016</v>
      </c>
      <c r="E321" s="1">
        <v>2016</v>
      </c>
      <c r="F321" s="1" t="s">
        <v>291</v>
      </c>
      <c r="G321" s="1" t="s">
        <v>113</v>
      </c>
      <c r="H321" s="1" t="s">
        <v>222</v>
      </c>
      <c r="I321" s="1" t="s">
        <v>110</v>
      </c>
      <c r="J321" s="1">
        <v>6</v>
      </c>
      <c r="K321" s="1" t="s">
        <v>171</v>
      </c>
      <c r="L321" s="1" t="s">
        <v>85</v>
      </c>
      <c r="M321" s="1" t="s">
        <v>85</v>
      </c>
      <c r="N321" s="1">
        <v>512.75</v>
      </c>
      <c r="O321" s="1" t="s">
        <v>164</v>
      </c>
    </row>
    <row r="322" spans="1:15" x14ac:dyDescent="0.35">
      <c r="A322" s="1" t="s">
        <v>125</v>
      </c>
      <c r="B322" s="1" t="s">
        <v>126</v>
      </c>
      <c r="C322" s="1" t="s">
        <v>85</v>
      </c>
      <c r="D322" s="1">
        <v>2016</v>
      </c>
      <c r="E322" s="1">
        <v>2016</v>
      </c>
      <c r="F322" s="1" t="s">
        <v>291</v>
      </c>
      <c r="G322" s="1" t="s">
        <v>113</v>
      </c>
      <c r="H322" s="1" t="s">
        <v>222</v>
      </c>
      <c r="I322" s="1" t="s">
        <v>110</v>
      </c>
      <c r="J322" s="1">
        <v>8</v>
      </c>
      <c r="K322" s="1" t="s">
        <v>171</v>
      </c>
      <c r="L322" s="1" t="s">
        <v>85</v>
      </c>
      <c r="M322" s="1" t="s">
        <v>85</v>
      </c>
      <c r="N322" s="1">
        <v>1276.4100000000001</v>
      </c>
      <c r="O322" s="1" t="s">
        <v>164</v>
      </c>
    </row>
    <row r="323" spans="1:15" x14ac:dyDescent="0.35">
      <c r="A323" s="1" t="s">
        <v>125</v>
      </c>
      <c r="B323" s="1" t="s">
        <v>126</v>
      </c>
      <c r="C323" s="1" t="s">
        <v>85</v>
      </c>
      <c r="D323" s="1">
        <v>2016</v>
      </c>
      <c r="E323" s="1">
        <v>2016</v>
      </c>
      <c r="F323" s="1" t="s">
        <v>291</v>
      </c>
      <c r="G323" s="1" t="s">
        <v>113</v>
      </c>
      <c r="H323" s="1" t="s">
        <v>109</v>
      </c>
      <c r="I323" s="1" t="s">
        <v>110</v>
      </c>
      <c r="J323" s="1">
        <v>10</v>
      </c>
      <c r="K323" s="1" t="s">
        <v>171</v>
      </c>
      <c r="L323" s="1" t="s">
        <v>85</v>
      </c>
      <c r="M323" s="1" t="s">
        <v>85</v>
      </c>
      <c r="N323" s="1">
        <v>1988.58</v>
      </c>
      <c r="O323" s="1" t="s">
        <v>164</v>
      </c>
    </row>
    <row r="324" spans="1:15" x14ac:dyDescent="0.35">
      <c r="A324" s="1" t="s">
        <v>125</v>
      </c>
      <c r="B324" s="1" t="s">
        <v>126</v>
      </c>
      <c r="C324" s="1" t="s">
        <v>85</v>
      </c>
      <c r="D324" s="1">
        <v>2016</v>
      </c>
      <c r="E324" s="1">
        <v>2016</v>
      </c>
      <c r="F324" s="1" t="s">
        <v>292</v>
      </c>
      <c r="G324" s="1" t="s">
        <v>113</v>
      </c>
      <c r="H324" s="1" t="s">
        <v>109</v>
      </c>
      <c r="I324" s="1" t="s">
        <v>110</v>
      </c>
      <c r="J324" s="1">
        <f>5/8</f>
        <v>0.625</v>
      </c>
      <c r="K324" s="1" t="s">
        <v>171</v>
      </c>
      <c r="L324" s="1">
        <v>2000</v>
      </c>
      <c r="M324" s="1" t="s">
        <v>85</v>
      </c>
      <c r="N324" s="1">
        <v>30.009</v>
      </c>
      <c r="O324" s="1" t="s">
        <v>164</v>
      </c>
    </row>
    <row r="325" spans="1:15" x14ac:dyDescent="0.35">
      <c r="A325" s="1" t="s">
        <v>125</v>
      </c>
      <c r="B325" s="1" t="s">
        <v>126</v>
      </c>
      <c r="C325" s="1" t="s">
        <v>85</v>
      </c>
      <c r="D325" s="1">
        <v>2016</v>
      </c>
      <c r="E325" s="1">
        <v>2016</v>
      </c>
      <c r="F325" s="1" t="s">
        <v>292</v>
      </c>
      <c r="G325" s="1" t="s">
        <v>113</v>
      </c>
      <c r="H325" s="1" t="s">
        <v>109</v>
      </c>
      <c r="I325" s="1" t="s">
        <v>110</v>
      </c>
      <c r="J325" s="1">
        <v>0.75</v>
      </c>
      <c r="K325" s="1" t="s">
        <v>171</v>
      </c>
      <c r="L325" s="1">
        <v>3000</v>
      </c>
      <c r="M325" s="1" t="s">
        <v>85</v>
      </c>
      <c r="N325" s="1">
        <v>41.09</v>
      </c>
      <c r="O325" s="1" t="s">
        <v>164</v>
      </c>
    </row>
    <row r="326" spans="1:15" x14ac:dyDescent="0.35">
      <c r="A326" s="1" t="s">
        <v>125</v>
      </c>
      <c r="B326" s="1" t="s">
        <v>126</v>
      </c>
      <c r="C326" s="1" t="s">
        <v>85</v>
      </c>
      <c r="D326" s="1">
        <v>2016</v>
      </c>
      <c r="E326" s="1">
        <v>2016</v>
      </c>
      <c r="F326" s="1" t="s">
        <v>292</v>
      </c>
      <c r="G326" s="1" t="s">
        <v>113</v>
      </c>
      <c r="H326" s="1" t="s">
        <v>109</v>
      </c>
      <c r="I326" s="1" t="s">
        <v>110</v>
      </c>
      <c r="J326" s="1">
        <v>1</v>
      </c>
      <c r="K326" s="1" t="s">
        <v>171</v>
      </c>
      <c r="L326" s="1">
        <v>5000</v>
      </c>
      <c r="M326" s="1" t="s">
        <v>85</v>
      </c>
      <c r="N326" s="1">
        <v>60.66</v>
      </c>
      <c r="O326" s="1" t="s">
        <v>164</v>
      </c>
    </row>
    <row r="327" spans="1:15" x14ac:dyDescent="0.35">
      <c r="A327" s="1" t="s">
        <v>125</v>
      </c>
      <c r="B327" s="1" t="s">
        <v>126</v>
      </c>
      <c r="C327" s="1" t="s">
        <v>85</v>
      </c>
      <c r="D327" s="1">
        <v>2016</v>
      </c>
      <c r="E327" s="1">
        <v>2016</v>
      </c>
      <c r="F327" s="1" t="s">
        <v>292</v>
      </c>
      <c r="G327" s="1" t="s">
        <v>113</v>
      </c>
      <c r="H327" s="1" t="s">
        <v>109</v>
      </c>
      <c r="I327" s="1" t="s">
        <v>110</v>
      </c>
      <c r="J327" s="1">
        <v>1.25</v>
      </c>
      <c r="K327" s="1" t="s">
        <v>171</v>
      </c>
      <c r="L327" s="1">
        <v>6660</v>
      </c>
      <c r="M327" s="1" t="s">
        <v>85</v>
      </c>
      <c r="N327" s="1">
        <v>76.92</v>
      </c>
      <c r="O327" s="1" t="s">
        <v>164</v>
      </c>
    </row>
    <row r="328" spans="1:15" x14ac:dyDescent="0.35">
      <c r="A328" s="1" t="s">
        <v>125</v>
      </c>
      <c r="B328" s="1" t="s">
        <v>126</v>
      </c>
      <c r="C328" s="1" t="s">
        <v>85</v>
      </c>
      <c r="D328" s="1">
        <v>2016</v>
      </c>
      <c r="E328" s="1">
        <v>2016</v>
      </c>
      <c r="F328" s="1" t="s">
        <v>292</v>
      </c>
      <c r="G328" s="1" t="s">
        <v>113</v>
      </c>
      <c r="H328" s="1" t="s">
        <v>109</v>
      </c>
      <c r="I328" s="1" t="s">
        <v>110</v>
      </c>
      <c r="J328" s="1">
        <v>1.5</v>
      </c>
      <c r="K328" s="1" t="s">
        <v>171</v>
      </c>
      <c r="L328" s="1">
        <v>10000</v>
      </c>
      <c r="M328" s="1" t="s">
        <v>85</v>
      </c>
      <c r="N328" s="1">
        <v>109.61</v>
      </c>
      <c r="O328" s="1" t="s">
        <v>164</v>
      </c>
    </row>
    <row r="329" spans="1:15" x14ac:dyDescent="0.35">
      <c r="A329" s="1" t="s">
        <v>125</v>
      </c>
      <c r="B329" s="1" t="s">
        <v>126</v>
      </c>
      <c r="C329" s="1" t="s">
        <v>85</v>
      </c>
      <c r="D329" s="1">
        <v>2016</v>
      </c>
      <c r="E329" s="1">
        <v>2016</v>
      </c>
      <c r="F329" s="1" t="s">
        <v>292</v>
      </c>
      <c r="G329" s="1" t="s">
        <v>113</v>
      </c>
      <c r="H329" s="1" t="s">
        <v>109</v>
      </c>
      <c r="I329" s="1" t="s">
        <v>110</v>
      </c>
      <c r="J329" s="1">
        <v>2</v>
      </c>
      <c r="K329" s="1" t="s">
        <v>171</v>
      </c>
      <c r="L329" s="1">
        <v>16000</v>
      </c>
      <c r="M329" s="1" t="s">
        <v>85</v>
      </c>
      <c r="N329" s="1">
        <v>168.33</v>
      </c>
      <c r="O329" s="1" t="s">
        <v>164</v>
      </c>
    </row>
    <row r="330" spans="1:15" x14ac:dyDescent="0.35">
      <c r="A330" s="1" t="s">
        <v>125</v>
      </c>
      <c r="B330" s="1" t="s">
        <v>126</v>
      </c>
      <c r="C330" s="1" t="s">
        <v>85</v>
      </c>
      <c r="D330" s="1">
        <v>2016</v>
      </c>
      <c r="E330" s="1">
        <v>2016</v>
      </c>
      <c r="F330" s="1" t="s">
        <v>292</v>
      </c>
      <c r="G330" s="1" t="s">
        <v>113</v>
      </c>
      <c r="H330" s="1" t="s">
        <v>109</v>
      </c>
      <c r="I330" s="1" t="s">
        <v>110</v>
      </c>
      <c r="J330" s="1">
        <v>3</v>
      </c>
      <c r="K330" s="1" t="s">
        <v>171</v>
      </c>
      <c r="L330" s="1">
        <v>30000</v>
      </c>
      <c r="M330" s="1" t="s">
        <v>85</v>
      </c>
      <c r="N330" s="1">
        <v>305.38</v>
      </c>
      <c r="O330" s="1" t="s">
        <v>164</v>
      </c>
    </row>
    <row r="331" spans="1:15" x14ac:dyDescent="0.35">
      <c r="A331" s="1" t="s">
        <v>125</v>
      </c>
      <c r="B331" s="1" t="s">
        <v>126</v>
      </c>
      <c r="C331" s="1" t="s">
        <v>85</v>
      </c>
      <c r="D331" s="1">
        <v>2016</v>
      </c>
      <c r="E331" s="1">
        <v>2016</v>
      </c>
      <c r="F331" s="1" t="s">
        <v>292</v>
      </c>
      <c r="G331" s="1" t="s">
        <v>113</v>
      </c>
      <c r="H331" s="1" t="s">
        <v>109</v>
      </c>
      <c r="I331" s="1" t="s">
        <v>110</v>
      </c>
      <c r="J331" s="1">
        <v>4</v>
      </c>
      <c r="K331" s="1" t="s">
        <v>171</v>
      </c>
      <c r="L331" s="1">
        <v>50000</v>
      </c>
      <c r="M331" s="1" t="s">
        <v>85</v>
      </c>
      <c r="N331" s="1">
        <v>501.14</v>
      </c>
      <c r="O331" s="1" t="s">
        <v>164</v>
      </c>
    </row>
    <row r="332" spans="1:15" x14ac:dyDescent="0.35">
      <c r="A332" s="1" t="s">
        <v>125</v>
      </c>
      <c r="B332" s="1" t="s">
        <v>126</v>
      </c>
      <c r="C332" s="1" t="s">
        <v>85</v>
      </c>
      <c r="D332" s="1">
        <v>2016</v>
      </c>
      <c r="E332" s="1">
        <v>2016</v>
      </c>
      <c r="F332" s="1" t="s">
        <v>292</v>
      </c>
      <c r="G332" s="1" t="s">
        <v>113</v>
      </c>
      <c r="H332" s="1" t="s">
        <v>109</v>
      </c>
      <c r="I332" s="1" t="s">
        <v>110</v>
      </c>
      <c r="J332" s="1">
        <v>6</v>
      </c>
      <c r="K332" s="1" t="s">
        <v>171</v>
      </c>
      <c r="L332" s="1">
        <v>100000</v>
      </c>
      <c r="M332" s="1" t="s">
        <v>85</v>
      </c>
      <c r="N332" s="1">
        <v>990.57</v>
      </c>
      <c r="O332" s="1" t="s">
        <v>164</v>
      </c>
    </row>
    <row r="333" spans="1:15" x14ac:dyDescent="0.35">
      <c r="A333" s="1" t="s">
        <v>125</v>
      </c>
      <c r="B333" s="1" t="s">
        <v>126</v>
      </c>
      <c r="C333" s="1" t="s">
        <v>85</v>
      </c>
      <c r="D333" s="1">
        <v>2016</v>
      </c>
      <c r="E333" s="1">
        <v>2016</v>
      </c>
      <c r="F333" s="1" t="s">
        <v>292</v>
      </c>
      <c r="G333" s="1" t="s">
        <v>113</v>
      </c>
      <c r="H333" s="1" t="s">
        <v>109</v>
      </c>
      <c r="I333" s="1" t="s">
        <v>110</v>
      </c>
      <c r="J333" s="1">
        <v>8</v>
      </c>
      <c r="K333" s="1" t="s">
        <v>171</v>
      </c>
      <c r="L333" s="1">
        <v>160000</v>
      </c>
      <c r="M333" s="1" t="s">
        <v>85</v>
      </c>
      <c r="N333" s="1">
        <v>1577.88</v>
      </c>
      <c r="O333" s="1" t="s">
        <v>164</v>
      </c>
    </row>
    <row r="334" spans="1:15" x14ac:dyDescent="0.35">
      <c r="A334" s="1" t="s">
        <v>125</v>
      </c>
      <c r="B334" s="1" t="s">
        <v>126</v>
      </c>
      <c r="C334" s="1" t="s">
        <v>85</v>
      </c>
      <c r="D334" s="1">
        <v>2016</v>
      </c>
      <c r="E334" s="1">
        <v>2016</v>
      </c>
      <c r="F334" s="1" t="s">
        <v>292</v>
      </c>
      <c r="G334" s="1" t="s">
        <v>113</v>
      </c>
      <c r="H334" s="1" t="s">
        <v>109</v>
      </c>
      <c r="I334" s="1" t="s">
        <v>110</v>
      </c>
      <c r="J334" s="1">
        <v>10</v>
      </c>
      <c r="K334" s="1" t="s">
        <v>171</v>
      </c>
      <c r="L334" s="1">
        <v>230000</v>
      </c>
      <c r="M334" s="1" t="s">
        <v>85</v>
      </c>
      <c r="N334" s="1">
        <v>2263.0700000000002</v>
      </c>
      <c r="O334" s="1" t="s">
        <v>164</v>
      </c>
    </row>
    <row r="335" spans="1:15" x14ac:dyDescent="0.35">
      <c r="A335" s="1" t="s">
        <v>125</v>
      </c>
      <c r="B335" s="1" t="s">
        <v>126</v>
      </c>
      <c r="C335" s="1" t="s">
        <v>85</v>
      </c>
      <c r="D335" s="1">
        <v>2016</v>
      </c>
      <c r="E335" s="1">
        <v>2016</v>
      </c>
      <c r="F335" s="1" t="s">
        <v>103</v>
      </c>
      <c r="G335" s="1" t="s">
        <v>113</v>
      </c>
      <c r="H335" s="1" t="s">
        <v>111</v>
      </c>
      <c r="I335" s="1" t="s">
        <v>294</v>
      </c>
      <c r="J335" s="1" t="s">
        <v>85</v>
      </c>
      <c r="K335" s="1" t="s">
        <v>85</v>
      </c>
      <c r="L335" s="1" t="s">
        <v>85</v>
      </c>
      <c r="M335" s="1" t="s">
        <v>85</v>
      </c>
      <c r="N335" s="1">
        <v>6.68</v>
      </c>
      <c r="O335" s="1" t="s">
        <v>172</v>
      </c>
    </row>
    <row r="336" spans="1:15" x14ac:dyDescent="0.35">
      <c r="A336" s="1" t="s">
        <v>125</v>
      </c>
      <c r="B336" s="1" t="s">
        <v>126</v>
      </c>
      <c r="C336" s="1" t="s">
        <v>85</v>
      </c>
      <c r="D336" s="1">
        <v>2016</v>
      </c>
      <c r="E336" s="1">
        <v>2016</v>
      </c>
      <c r="F336" s="1" t="s">
        <v>292</v>
      </c>
      <c r="G336" s="1" t="s">
        <v>113</v>
      </c>
      <c r="H336" s="1" t="s">
        <v>111</v>
      </c>
      <c r="I336" s="1" t="s">
        <v>294</v>
      </c>
      <c r="J336" s="1" t="s">
        <v>85</v>
      </c>
      <c r="K336" s="1" t="s">
        <v>85</v>
      </c>
      <c r="L336" s="1" t="s">
        <v>85</v>
      </c>
      <c r="M336" s="1" t="s">
        <v>85</v>
      </c>
      <c r="N336" s="1">
        <v>9.18</v>
      </c>
      <c r="O336" s="1" t="s">
        <v>172</v>
      </c>
    </row>
    <row r="337" spans="1:15" x14ac:dyDescent="0.35">
      <c r="A337" s="1" t="s">
        <v>125</v>
      </c>
      <c r="B337" s="1" t="s">
        <v>126</v>
      </c>
      <c r="C337" s="1" t="s">
        <v>85</v>
      </c>
      <c r="D337" s="1">
        <v>2016</v>
      </c>
      <c r="E337" s="1">
        <v>2016</v>
      </c>
      <c r="F337" s="1" t="s">
        <v>103</v>
      </c>
      <c r="G337" s="1" t="s">
        <v>113</v>
      </c>
      <c r="H337" s="1" t="s">
        <v>111</v>
      </c>
      <c r="I337" s="1" t="s">
        <v>293</v>
      </c>
      <c r="J337" s="1">
        <v>750000</v>
      </c>
      <c r="K337" s="1" t="s">
        <v>112</v>
      </c>
      <c r="L337" s="1" t="s">
        <v>85</v>
      </c>
      <c r="M337" s="1" t="s">
        <v>85</v>
      </c>
      <c r="N337" s="1">
        <v>8.2146000000000008</v>
      </c>
      <c r="O337" s="1" t="s">
        <v>172</v>
      </c>
    </row>
    <row r="338" spans="1:15" x14ac:dyDescent="0.35">
      <c r="A338" s="1" t="s">
        <v>125</v>
      </c>
      <c r="B338" s="1" t="s">
        <v>126</v>
      </c>
      <c r="C338" s="1" t="s">
        <v>85</v>
      </c>
      <c r="D338" s="1">
        <v>2016</v>
      </c>
      <c r="E338" s="1">
        <v>2016</v>
      </c>
      <c r="F338" s="1" t="s">
        <v>103</v>
      </c>
      <c r="G338" s="1" t="s">
        <v>113</v>
      </c>
      <c r="H338" s="1" t="s">
        <v>111</v>
      </c>
      <c r="I338" s="1" t="s">
        <v>293</v>
      </c>
      <c r="J338" s="1">
        <v>3750000</v>
      </c>
      <c r="K338" s="1" t="s">
        <v>112</v>
      </c>
      <c r="L338" s="1" t="s">
        <v>85</v>
      </c>
      <c r="M338" s="1" t="s">
        <v>85</v>
      </c>
      <c r="N338" s="1">
        <v>7.1811999999999996</v>
      </c>
      <c r="O338" s="1" t="s">
        <v>172</v>
      </c>
    </row>
    <row r="339" spans="1:15" x14ac:dyDescent="0.35">
      <c r="A339" s="1" t="s">
        <v>125</v>
      </c>
      <c r="B339" s="1" t="s">
        <v>126</v>
      </c>
      <c r="C339" s="1" t="s">
        <v>85</v>
      </c>
      <c r="D339" s="1">
        <v>2016</v>
      </c>
      <c r="E339" s="1">
        <v>2016</v>
      </c>
      <c r="F339" s="1" t="s">
        <v>103</v>
      </c>
      <c r="G339" s="1" t="s">
        <v>113</v>
      </c>
      <c r="H339" s="1" t="s">
        <v>111</v>
      </c>
      <c r="I339" s="1" t="s">
        <v>293</v>
      </c>
      <c r="J339" s="1" t="s">
        <v>174</v>
      </c>
      <c r="K339" s="1" t="s">
        <v>112</v>
      </c>
      <c r="L339" s="1" t="s">
        <v>85</v>
      </c>
      <c r="M339" s="1" t="s">
        <v>85</v>
      </c>
      <c r="N339" s="1">
        <v>6.0682</v>
      </c>
      <c r="O339" s="1" t="s">
        <v>172</v>
      </c>
    </row>
    <row r="340" spans="1:15" x14ac:dyDescent="0.35">
      <c r="A340" s="1" t="s">
        <v>125</v>
      </c>
      <c r="B340" s="1" t="s">
        <v>126</v>
      </c>
      <c r="C340" s="1" t="s">
        <v>85</v>
      </c>
      <c r="D340" s="1">
        <v>2016</v>
      </c>
      <c r="E340" s="1">
        <v>2016</v>
      </c>
      <c r="F340" s="1" t="s">
        <v>292</v>
      </c>
      <c r="G340" s="1" t="s">
        <v>113</v>
      </c>
      <c r="H340" s="1" t="s">
        <v>111</v>
      </c>
      <c r="I340" s="1" t="s">
        <v>293</v>
      </c>
      <c r="J340" s="1">
        <v>750000</v>
      </c>
      <c r="K340" s="1" t="s">
        <v>112</v>
      </c>
      <c r="L340" s="1" t="s">
        <v>85</v>
      </c>
      <c r="M340" s="1" t="s">
        <v>85</v>
      </c>
      <c r="N340" s="1">
        <v>9.7899999999999991</v>
      </c>
      <c r="O340" s="1" t="s">
        <v>172</v>
      </c>
    </row>
    <row r="341" spans="1:15" x14ac:dyDescent="0.35">
      <c r="A341" s="1" t="s">
        <v>125</v>
      </c>
      <c r="B341" s="1" t="s">
        <v>126</v>
      </c>
      <c r="C341" s="1" t="s">
        <v>85</v>
      </c>
      <c r="D341" s="1">
        <v>2016</v>
      </c>
      <c r="E341" s="1">
        <v>2016</v>
      </c>
      <c r="F341" s="1" t="s">
        <v>292</v>
      </c>
      <c r="G341" s="1" t="s">
        <v>113</v>
      </c>
      <c r="H341" s="1" t="s">
        <v>111</v>
      </c>
      <c r="I341" s="1" t="s">
        <v>293</v>
      </c>
      <c r="J341" s="1">
        <v>3750000</v>
      </c>
      <c r="K341" s="1" t="s">
        <v>112</v>
      </c>
      <c r="L341" s="1" t="s">
        <v>85</v>
      </c>
      <c r="M341" s="1" t="s">
        <v>85</v>
      </c>
      <c r="N341" s="1">
        <v>7.83</v>
      </c>
      <c r="O341" s="1" t="s">
        <v>172</v>
      </c>
    </row>
    <row r="342" spans="1:15" x14ac:dyDescent="0.35">
      <c r="A342" s="1" t="s">
        <v>125</v>
      </c>
      <c r="B342" s="1" t="s">
        <v>126</v>
      </c>
      <c r="C342" s="1" t="s">
        <v>85</v>
      </c>
      <c r="D342" s="1">
        <v>2016</v>
      </c>
      <c r="E342" s="1">
        <v>2016</v>
      </c>
      <c r="F342" s="1" t="s">
        <v>292</v>
      </c>
      <c r="G342" s="1" t="s">
        <v>113</v>
      </c>
      <c r="H342" s="1" t="s">
        <v>111</v>
      </c>
      <c r="I342" s="1" t="s">
        <v>293</v>
      </c>
      <c r="J342" s="1" t="s">
        <v>174</v>
      </c>
      <c r="K342" s="1" t="s">
        <v>112</v>
      </c>
      <c r="L342" s="1" t="s">
        <v>85</v>
      </c>
      <c r="M342" s="1" t="s">
        <v>85</v>
      </c>
      <c r="N342" s="1">
        <v>7.38</v>
      </c>
      <c r="O342" s="1" t="s">
        <v>172</v>
      </c>
    </row>
    <row r="343" spans="1:15" x14ac:dyDescent="0.35">
      <c r="A343" s="1" t="s">
        <v>125</v>
      </c>
      <c r="B343" s="1" t="s">
        <v>126</v>
      </c>
      <c r="C343" s="1" t="s">
        <v>85</v>
      </c>
      <c r="D343" s="1">
        <v>2017</v>
      </c>
      <c r="E343" s="1">
        <v>2016</v>
      </c>
      <c r="F343" s="1" t="s">
        <v>103</v>
      </c>
      <c r="G343" s="1" t="s">
        <v>113</v>
      </c>
      <c r="H343" s="1" t="s">
        <v>109</v>
      </c>
      <c r="I343" s="1" t="s">
        <v>110</v>
      </c>
      <c r="J343" s="1">
        <f>5/8</f>
        <v>0.625</v>
      </c>
      <c r="K343" s="1" t="s">
        <v>171</v>
      </c>
      <c r="L343" s="1" t="s">
        <v>85</v>
      </c>
      <c r="M343" s="1" t="s">
        <v>85</v>
      </c>
      <c r="N343" s="1">
        <v>10.72</v>
      </c>
      <c r="O343" s="1" t="s">
        <v>164</v>
      </c>
    </row>
    <row r="344" spans="1:15" x14ac:dyDescent="0.35">
      <c r="A344" s="1" t="s">
        <v>125</v>
      </c>
      <c r="B344" s="1" t="s">
        <v>126</v>
      </c>
      <c r="C344" s="1" t="s">
        <v>85</v>
      </c>
      <c r="D344" s="1">
        <v>2017</v>
      </c>
      <c r="E344" s="1">
        <v>2016</v>
      </c>
      <c r="F344" s="1" t="s">
        <v>103</v>
      </c>
      <c r="G344" s="1" t="s">
        <v>113</v>
      </c>
      <c r="H344" s="1" t="s">
        <v>109</v>
      </c>
      <c r="I344" s="1" t="s">
        <v>110</v>
      </c>
      <c r="J344" s="1">
        <v>0.75</v>
      </c>
      <c r="K344" s="1" t="s">
        <v>171</v>
      </c>
      <c r="L344" s="1" t="s">
        <v>85</v>
      </c>
      <c r="M344" s="1" t="s">
        <v>85</v>
      </c>
      <c r="N344" s="1">
        <v>24.69</v>
      </c>
      <c r="O344" s="1" t="s">
        <v>164</v>
      </c>
    </row>
    <row r="345" spans="1:15" x14ac:dyDescent="0.35">
      <c r="A345" s="1" t="s">
        <v>125</v>
      </c>
      <c r="B345" s="1" t="s">
        <v>126</v>
      </c>
      <c r="C345" s="1" t="s">
        <v>85</v>
      </c>
      <c r="D345" s="1">
        <v>2017</v>
      </c>
      <c r="E345" s="1">
        <v>2016</v>
      </c>
      <c r="F345" s="1" t="s">
        <v>103</v>
      </c>
      <c r="G345" s="1" t="s">
        <v>113</v>
      </c>
      <c r="H345" s="1" t="s">
        <v>109</v>
      </c>
      <c r="I345" s="1" t="s">
        <v>110</v>
      </c>
      <c r="J345" s="1">
        <v>1</v>
      </c>
      <c r="K345" s="1" t="s">
        <v>171</v>
      </c>
      <c r="L345" s="1" t="s">
        <v>85</v>
      </c>
      <c r="M345" s="1" t="s">
        <v>85</v>
      </c>
      <c r="N345" s="1">
        <v>41.65</v>
      </c>
      <c r="O345" s="1" t="s">
        <v>164</v>
      </c>
    </row>
    <row r="346" spans="1:15" x14ac:dyDescent="0.35">
      <c r="A346" s="1" t="s">
        <v>125</v>
      </c>
      <c r="B346" s="1" t="s">
        <v>126</v>
      </c>
      <c r="C346" s="1" t="s">
        <v>85</v>
      </c>
      <c r="D346" s="1">
        <v>2017</v>
      </c>
      <c r="E346" s="1">
        <v>2016</v>
      </c>
      <c r="F346" s="1" t="s">
        <v>103</v>
      </c>
      <c r="G346" s="1" t="s">
        <v>113</v>
      </c>
      <c r="H346" s="1" t="s">
        <v>109</v>
      </c>
      <c r="I346" s="1" t="s">
        <v>110</v>
      </c>
      <c r="J346" s="1">
        <v>1.25</v>
      </c>
      <c r="K346" s="1" t="s">
        <v>171</v>
      </c>
      <c r="L346" s="1" t="s">
        <v>85</v>
      </c>
      <c r="M346" s="1" t="s">
        <v>85</v>
      </c>
      <c r="N346" s="1">
        <v>65.22</v>
      </c>
      <c r="O346" s="1" t="s">
        <v>164</v>
      </c>
    </row>
    <row r="347" spans="1:15" x14ac:dyDescent="0.35">
      <c r="A347" s="1" t="s">
        <v>125</v>
      </c>
      <c r="B347" s="1" t="s">
        <v>126</v>
      </c>
      <c r="C347" s="1" t="s">
        <v>85</v>
      </c>
      <c r="D347" s="1">
        <v>2017</v>
      </c>
      <c r="E347" s="1">
        <v>2016</v>
      </c>
      <c r="F347" s="1" t="s">
        <v>103</v>
      </c>
      <c r="G347" s="1" t="s">
        <v>113</v>
      </c>
      <c r="H347" s="1" t="s">
        <v>109</v>
      </c>
      <c r="I347" s="1" t="s">
        <v>110</v>
      </c>
      <c r="J347" s="1">
        <v>1.5</v>
      </c>
      <c r="K347" s="1" t="s">
        <v>171</v>
      </c>
      <c r="L347" s="1" t="s">
        <v>85</v>
      </c>
      <c r="M347" s="1" t="s">
        <v>85</v>
      </c>
      <c r="N347" s="1">
        <v>74.59</v>
      </c>
      <c r="O347" s="1" t="s">
        <v>164</v>
      </c>
    </row>
    <row r="348" spans="1:15" x14ac:dyDescent="0.35">
      <c r="A348" s="1" t="s">
        <v>125</v>
      </c>
      <c r="B348" s="1" t="s">
        <v>126</v>
      </c>
      <c r="C348" s="1" t="s">
        <v>85</v>
      </c>
      <c r="D348" s="1">
        <v>2017</v>
      </c>
      <c r="E348" s="1">
        <v>2016</v>
      </c>
      <c r="F348" s="1" t="s">
        <v>103</v>
      </c>
      <c r="G348" s="1" t="s">
        <v>113</v>
      </c>
      <c r="H348" s="1" t="s">
        <v>109</v>
      </c>
      <c r="I348" s="1" t="s">
        <v>110</v>
      </c>
      <c r="J348" s="1">
        <v>2</v>
      </c>
      <c r="K348" s="1" t="s">
        <v>171</v>
      </c>
      <c r="L348" s="1" t="s">
        <v>85</v>
      </c>
      <c r="M348" s="1" t="s">
        <v>85</v>
      </c>
      <c r="N348" s="1">
        <v>122.9</v>
      </c>
      <c r="O348" s="1" t="s">
        <v>164</v>
      </c>
    </row>
    <row r="349" spans="1:15" x14ac:dyDescent="0.35">
      <c r="A349" s="1" t="s">
        <v>125</v>
      </c>
      <c r="B349" s="1" t="s">
        <v>126</v>
      </c>
      <c r="C349" s="1" t="s">
        <v>85</v>
      </c>
      <c r="D349" s="1">
        <v>2017</v>
      </c>
      <c r="E349" s="1">
        <v>2016</v>
      </c>
      <c r="F349" s="1" t="s">
        <v>103</v>
      </c>
      <c r="G349" s="1" t="s">
        <v>113</v>
      </c>
      <c r="H349" s="1" t="s">
        <v>109</v>
      </c>
      <c r="I349" s="1" t="s">
        <v>110</v>
      </c>
      <c r="J349" s="1">
        <v>3</v>
      </c>
      <c r="K349" s="1" t="s">
        <v>171</v>
      </c>
      <c r="L349" s="1" t="s">
        <v>85</v>
      </c>
      <c r="M349" s="1" t="s">
        <v>85</v>
      </c>
      <c r="N349" s="1">
        <v>239.51</v>
      </c>
      <c r="O349" s="1" t="s">
        <v>164</v>
      </c>
    </row>
    <row r="350" spans="1:15" x14ac:dyDescent="0.35">
      <c r="A350" s="1" t="s">
        <v>125</v>
      </c>
      <c r="B350" s="1" t="s">
        <v>126</v>
      </c>
      <c r="C350" s="1" t="s">
        <v>85</v>
      </c>
      <c r="D350" s="1">
        <v>2017</v>
      </c>
      <c r="E350" s="1">
        <v>2016</v>
      </c>
      <c r="F350" s="1" t="s">
        <v>103</v>
      </c>
      <c r="G350" s="1" t="s">
        <v>113</v>
      </c>
      <c r="H350" s="1" t="s">
        <v>109</v>
      </c>
      <c r="I350" s="1" t="s">
        <v>110</v>
      </c>
      <c r="J350" s="1">
        <v>4</v>
      </c>
      <c r="K350" s="1" t="s">
        <v>171</v>
      </c>
      <c r="L350" s="1" t="s">
        <v>85</v>
      </c>
      <c r="M350" s="1" t="s">
        <v>85</v>
      </c>
      <c r="N350" s="1">
        <v>297.20999999999998</v>
      </c>
      <c r="O350" s="1" t="s">
        <v>164</v>
      </c>
    </row>
    <row r="351" spans="1:15" x14ac:dyDescent="0.35">
      <c r="A351" s="1" t="s">
        <v>125</v>
      </c>
      <c r="B351" s="1" t="s">
        <v>126</v>
      </c>
      <c r="C351" s="1" t="s">
        <v>85</v>
      </c>
      <c r="D351" s="1">
        <v>2017</v>
      </c>
      <c r="E351" s="1">
        <v>2016</v>
      </c>
      <c r="F351" s="1" t="s">
        <v>103</v>
      </c>
      <c r="G351" s="1" t="s">
        <v>113</v>
      </c>
      <c r="H351" s="1" t="s">
        <v>109</v>
      </c>
      <c r="I351" s="1" t="s">
        <v>110</v>
      </c>
      <c r="J351" s="1">
        <v>6</v>
      </c>
      <c r="K351" s="1" t="s">
        <v>171</v>
      </c>
      <c r="L351" s="1" t="s">
        <v>85</v>
      </c>
      <c r="M351" s="1" t="s">
        <v>85</v>
      </c>
      <c r="N351" s="1">
        <v>586.79999999999995</v>
      </c>
      <c r="O351" s="1" t="s">
        <v>164</v>
      </c>
    </row>
    <row r="352" spans="1:15" x14ac:dyDescent="0.35">
      <c r="A352" s="1" t="s">
        <v>125</v>
      </c>
      <c r="B352" s="1" t="s">
        <v>126</v>
      </c>
      <c r="C352" s="1" t="s">
        <v>85</v>
      </c>
      <c r="D352" s="1">
        <v>2017</v>
      </c>
      <c r="E352" s="1">
        <v>2016</v>
      </c>
      <c r="F352" s="1" t="s">
        <v>103</v>
      </c>
      <c r="G352" s="1" t="s">
        <v>113</v>
      </c>
      <c r="H352" s="1" t="s">
        <v>109</v>
      </c>
      <c r="I352" s="1" t="s">
        <v>110</v>
      </c>
      <c r="J352" s="1">
        <v>8</v>
      </c>
      <c r="K352" s="1" t="s">
        <v>171</v>
      </c>
      <c r="L352" s="1" t="s">
        <v>85</v>
      </c>
      <c r="M352" s="1" t="s">
        <v>85</v>
      </c>
      <c r="N352" s="1">
        <v>1460.82</v>
      </c>
      <c r="O352" s="1" t="s">
        <v>164</v>
      </c>
    </row>
    <row r="353" spans="1:15" x14ac:dyDescent="0.35">
      <c r="A353" s="1" t="s">
        <v>125</v>
      </c>
      <c r="B353" s="1" t="s">
        <v>126</v>
      </c>
      <c r="C353" s="1" t="s">
        <v>85</v>
      </c>
      <c r="D353" s="1">
        <v>2017</v>
      </c>
      <c r="E353" s="1">
        <v>2016</v>
      </c>
      <c r="F353" s="1" t="s">
        <v>103</v>
      </c>
      <c r="G353" s="1" t="s">
        <v>113</v>
      </c>
      <c r="H353" s="1" t="s">
        <v>109</v>
      </c>
      <c r="I353" s="1" t="s">
        <v>110</v>
      </c>
      <c r="J353" s="1">
        <v>10</v>
      </c>
      <c r="K353" s="1" t="s">
        <v>171</v>
      </c>
      <c r="L353" s="1" t="s">
        <v>85</v>
      </c>
      <c r="M353" s="1" t="s">
        <v>85</v>
      </c>
      <c r="N353" s="1">
        <v>2275.83</v>
      </c>
      <c r="O353" s="1" t="s">
        <v>164</v>
      </c>
    </row>
    <row r="354" spans="1:15" x14ac:dyDescent="0.35">
      <c r="A354" s="1" t="s">
        <v>125</v>
      </c>
      <c r="B354" s="1" t="s">
        <v>126</v>
      </c>
      <c r="C354" s="1" t="s">
        <v>85</v>
      </c>
      <c r="D354" s="1">
        <v>2017</v>
      </c>
      <c r="E354" s="1">
        <v>2016</v>
      </c>
      <c r="F354" s="1" t="s">
        <v>291</v>
      </c>
      <c r="G354" s="1" t="s">
        <v>113</v>
      </c>
      <c r="H354" s="1" t="s">
        <v>222</v>
      </c>
      <c r="I354" s="1" t="s">
        <v>110</v>
      </c>
      <c r="J354" s="1">
        <f>5/8</f>
        <v>0.625</v>
      </c>
      <c r="K354" s="1" t="s">
        <v>171</v>
      </c>
      <c r="L354" s="1" t="s">
        <v>85</v>
      </c>
      <c r="M354" s="1" t="s">
        <v>85</v>
      </c>
      <c r="N354" s="1">
        <v>7.88</v>
      </c>
      <c r="O354" s="1" t="s">
        <v>164</v>
      </c>
    </row>
    <row r="355" spans="1:15" x14ac:dyDescent="0.35">
      <c r="A355" s="1" t="s">
        <v>125</v>
      </c>
      <c r="B355" s="1" t="s">
        <v>126</v>
      </c>
      <c r="C355" s="1" t="s">
        <v>85</v>
      </c>
      <c r="D355" s="1">
        <v>2017</v>
      </c>
      <c r="E355" s="1">
        <v>2016</v>
      </c>
      <c r="F355" s="1" t="s">
        <v>291</v>
      </c>
      <c r="G355" s="1" t="s">
        <v>113</v>
      </c>
      <c r="H355" s="1" t="s">
        <v>222</v>
      </c>
      <c r="I355" s="1" t="s">
        <v>110</v>
      </c>
      <c r="J355" s="1">
        <v>0.75</v>
      </c>
      <c r="K355" s="1" t="s">
        <v>171</v>
      </c>
      <c r="L355" s="1" t="s">
        <v>85</v>
      </c>
      <c r="M355" s="1" t="s">
        <v>85</v>
      </c>
      <c r="N355" s="1">
        <v>9.2799999999999994</v>
      </c>
      <c r="O355" s="1" t="s">
        <v>164</v>
      </c>
    </row>
    <row r="356" spans="1:15" x14ac:dyDescent="0.35">
      <c r="A356" s="1" t="s">
        <v>125</v>
      </c>
      <c r="B356" s="1" t="s">
        <v>126</v>
      </c>
      <c r="C356" s="1" t="s">
        <v>85</v>
      </c>
      <c r="D356" s="1">
        <v>2017</v>
      </c>
      <c r="E356" s="1">
        <v>2016</v>
      </c>
      <c r="F356" s="1" t="s">
        <v>291</v>
      </c>
      <c r="G356" s="1" t="s">
        <v>113</v>
      </c>
      <c r="H356" s="1" t="s">
        <v>222</v>
      </c>
      <c r="I356" s="1" t="s">
        <v>110</v>
      </c>
      <c r="J356" s="1">
        <v>1</v>
      </c>
      <c r="K356" s="1" t="s">
        <v>171</v>
      </c>
      <c r="L356" s="1" t="s">
        <v>85</v>
      </c>
      <c r="M356" s="1" t="s">
        <v>85</v>
      </c>
      <c r="N356" s="1">
        <v>36.4</v>
      </c>
      <c r="O356" s="1" t="s">
        <v>164</v>
      </c>
    </row>
    <row r="357" spans="1:15" x14ac:dyDescent="0.35">
      <c r="A357" s="1" t="s">
        <v>125</v>
      </c>
      <c r="B357" s="1" t="s">
        <v>126</v>
      </c>
      <c r="C357" s="1" t="s">
        <v>85</v>
      </c>
      <c r="D357" s="1">
        <v>2017</v>
      </c>
      <c r="E357" s="1">
        <v>2016</v>
      </c>
      <c r="F357" s="1" t="s">
        <v>291</v>
      </c>
      <c r="G357" s="1" t="s">
        <v>113</v>
      </c>
      <c r="H357" s="1" t="s">
        <v>222</v>
      </c>
      <c r="I357" s="1" t="s">
        <v>110</v>
      </c>
      <c r="J357" s="1">
        <v>1.25</v>
      </c>
      <c r="K357" s="1" t="s">
        <v>171</v>
      </c>
      <c r="L357" s="1" t="s">
        <v>85</v>
      </c>
      <c r="M357" s="1" t="s">
        <v>85</v>
      </c>
      <c r="N357" s="1">
        <v>57</v>
      </c>
      <c r="O357" s="1" t="s">
        <v>164</v>
      </c>
    </row>
    <row r="358" spans="1:15" x14ac:dyDescent="0.35">
      <c r="A358" s="1" t="s">
        <v>125</v>
      </c>
      <c r="B358" s="1" t="s">
        <v>126</v>
      </c>
      <c r="C358" s="1" t="s">
        <v>85</v>
      </c>
      <c r="D358" s="1">
        <v>2017</v>
      </c>
      <c r="E358" s="1">
        <v>2016</v>
      </c>
      <c r="F358" s="1" t="s">
        <v>291</v>
      </c>
      <c r="G358" s="1" t="s">
        <v>113</v>
      </c>
      <c r="H358" s="1" t="s">
        <v>222</v>
      </c>
      <c r="I358" s="1" t="s">
        <v>110</v>
      </c>
      <c r="J358" s="1">
        <v>1.5</v>
      </c>
      <c r="K358" s="1" t="s">
        <v>171</v>
      </c>
      <c r="L358" s="1" t="s">
        <v>85</v>
      </c>
      <c r="M358" s="1" t="s">
        <v>85</v>
      </c>
      <c r="N358" s="1">
        <v>65.180000000000007</v>
      </c>
      <c r="O358" s="1" t="s">
        <v>164</v>
      </c>
    </row>
    <row r="359" spans="1:15" x14ac:dyDescent="0.35">
      <c r="A359" s="1" t="s">
        <v>125</v>
      </c>
      <c r="B359" s="1" t="s">
        <v>126</v>
      </c>
      <c r="C359" s="1" t="s">
        <v>85</v>
      </c>
      <c r="D359" s="1">
        <v>2017</v>
      </c>
      <c r="E359" s="1">
        <v>2016</v>
      </c>
      <c r="F359" s="1" t="s">
        <v>291</v>
      </c>
      <c r="G359" s="1" t="s">
        <v>113</v>
      </c>
      <c r="H359" s="1" t="s">
        <v>222</v>
      </c>
      <c r="I359" s="1" t="s">
        <v>110</v>
      </c>
      <c r="J359" s="1">
        <v>2</v>
      </c>
      <c r="K359" s="1" t="s">
        <v>171</v>
      </c>
      <c r="L359" s="1" t="s">
        <v>85</v>
      </c>
      <c r="M359" s="1" t="s">
        <v>85</v>
      </c>
      <c r="N359" s="1">
        <v>107.37</v>
      </c>
      <c r="O359" s="1" t="s">
        <v>164</v>
      </c>
    </row>
    <row r="360" spans="1:15" x14ac:dyDescent="0.35">
      <c r="A360" s="1" t="s">
        <v>125</v>
      </c>
      <c r="B360" s="1" t="s">
        <v>126</v>
      </c>
      <c r="C360" s="1" t="s">
        <v>85</v>
      </c>
      <c r="D360" s="1">
        <v>2017</v>
      </c>
      <c r="E360" s="1">
        <v>2016</v>
      </c>
      <c r="F360" s="1" t="s">
        <v>291</v>
      </c>
      <c r="G360" s="1" t="s">
        <v>113</v>
      </c>
      <c r="H360" s="1" t="s">
        <v>222</v>
      </c>
      <c r="I360" s="1" t="s">
        <v>110</v>
      </c>
      <c r="J360" s="1">
        <v>3</v>
      </c>
      <c r="K360" s="1" t="s">
        <v>171</v>
      </c>
      <c r="L360" s="1" t="s">
        <v>85</v>
      </c>
      <c r="M360" s="1" t="s">
        <v>85</v>
      </c>
      <c r="N360" s="1">
        <v>209.29</v>
      </c>
      <c r="O360" s="1" t="s">
        <v>164</v>
      </c>
    </row>
    <row r="361" spans="1:15" x14ac:dyDescent="0.35">
      <c r="A361" s="1" t="s">
        <v>125</v>
      </c>
      <c r="B361" s="1" t="s">
        <v>126</v>
      </c>
      <c r="C361" s="1" t="s">
        <v>85</v>
      </c>
      <c r="D361" s="1">
        <v>2017</v>
      </c>
      <c r="E361" s="1">
        <v>2016</v>
      </c>
      <c r="F361" s="1" t="s">
        <v>291</v>
      </c>
      <c r="G361" s="1" t="s">
        <v>113</v>
      </c>
      <c r="H361" s="1" t="s">
        <v>222</v>
      </c>
      <c r="I361" s="1" t="s">
        <v>110</v>
      </c>
      <c r="J361" s="1">
        <v>4</v>
      </c>
      <c r="K361" s="1" t="s">
        <v>171</v>
      </c>
      <c r="L361" s="1" t="s">
        <v>85</v>
      </c>
      <c r="M361" s="1" t="s">
        <v>85</v>
      </c>
      <c r="N361" s="1">
        <v>259.67</v>
      </c>
      <c r="O361" s="1" t="s">
        <v>164</v>
      </c>
    </row>
    <row r="362" spans="1:15" x14ac:dyDescent="0.35">
      <c r="A362" s="1" t="s">
        <v>125</v>
      </c>
      <c r="B362" s="1" t="s">
        <v>126</v>
      </c>
      <c r="C362" s="1" t="s">
        <v>85</v>
      </c>
      <c r="D362" s="1">
        <v>2017</v>
      </c>
      <c r="E362" s="1">
        <v>2016</v>
      </c>
      <c r="F362" s="1" t="s">
        <v>291</v>
      </c>
      <c r="G362" s="1" t="s">
        <v>113</v>
      </c>
      <c r="H362" s="1" t="s">
        <v>222</v>
      </c>
      <c r="I362" s="1" t="s">
        <v>110</v>
      </c>
      <c r="J362" s="1">
        <v>6</v>
      </c>
      <c r="K362" s="1" t="s">
        <v>171</v>
      </c>
      <c r="L362" s="1" t="s">
        <v>85</v>
      </c>
      <c r="M362" s="1" t="s">
        <v>85</v>
      </c>
      <c r="N362" s="1">
        <v>512.75</v>
      </c>
      <c r="O362" s="1" t="s">
        <v>164</v>
      </c>
    </row>
    <row r="363" spans="1:15" x14ac:dyDescent="0.35">
      <c r="A363" s="1" t="s">
        <v>125</v>
      </c>
      <c r="B363" s="1" t="s">
        <v>126</v>
      </c>
      <c r="C363" s="1" t="s">
        <v>85</v>
      </c>
      <c r="D363" s="1">
        <v>2017</v>
      </c>
      <c r="E363" s="1">
        <v>2016</v>
      </c>
      <c r="F363" s="1" t="s">
        <v>291</v>
      </c>
      <c r="G363" s="1" t="s">
        <v>113</v>
      </c>
      <c r="H363" s="1" t="s">
        <v>222</v>
      </c>
      <c r="I363" s="1" t="s">
        <v>110</v>
      </c>
      <c r="J363" s="1">
        <v>8</v>
      </c>
      <c r="K363" s="1" t="s">
        <v>171</v>
      </c>
      <c r="L363" s="1" t="s">
        <v>85</v>
      </c>
      <c r="M363" s="1" t="s">
        <v>85</v>
      </c>
      <c r="N363" s="1">
        <v>1276.4100000000001</v>
      </c>
      <c r="O363" s="1" t="s">
        <v>164</v>
      </c>
    </row>
    <row r="364" spans="1:15" x14ac:dyDescent="0.35">
      <c r="A364" s="1" t="s">
        <v>125</v>
      </c>
      <c r="B364" s="1" t="s">
        <v>126</v>
      </c>
      <c r="C364" s="1" t="s">
        <v>85</v>
      </c>
      <c r="D364" s="1">
        <v>2017</v>
      </c>
      <c r="E364" s="1">
        <v>2016</v>
      </c>
      <c r="F364" s="1" t="s">
        <v>291</v>
      </c>
      <c r="G364" s="1" t="s">
        <v>113</v>
      </c>
      <c r="H364" s="1" t="s">
        <v>109</v>
      </c>
      <c r="I364" s="1" t="s">
        <v>110</v>
      </c>
      <c r="J364" s="1">
        <v>10</v>
      </c>
      <c r="K364" s="1" t="s">
        <v>171</v>
      </c>
      <c r="L364" s="1" t="s">
        <v>85</v>
      </c>
      <c r="M364" s="1" t="s">
        <v>85</v>
      </c>
      <c r="N364" s="1">
        <v>1988.58</v>
      </c>
      <c r="O364" s="1" t="s">
        <v>164</v>
      </c>
    </row>
    <row r="365" spans="1:15" x14ac:dyDescent="0.35">
      <c r="A365" s="1" t="s">
        <v>125</v>
      </c>
      <c r="B365" s="1" t="s">
        <v>126</v>
      </c>
      <c r="C365" s="1" t="s">
        <v>85</v>
      </c>
      <c r="D365" s="1">
        <v>2017</v>
      </c>
      <c r="E365" s="1">
        <v>2017</v>
      </c>
      <c r="F365" s="1" t="s">
        <v>292</v>
      </c>
      <c r="G365" s="1" t="s">
        <v>113</v>
      </c>
      <c r="H365" s="1" t="s">
        <v>109</v>
      </c>
      <c r="I365" s="1" t="s">
        <v>110</v>
      </c>
      <c r="J365" s="1">
        <f>5/8</f>
        <v>0.625</v>
      </c>
      <c r="K365" s="1" t="s">
        <v>171</v>
      </c>
      <c r="L365" s="1">
        <v>2000</v>
      </c>
      <c r="M365" s="1" t="s">
        <v>85</v>
      </c>
      <c r="N365" s="1">
        <v>31.29</v>
      </c>
      <c r="O365" s="1" t="s">
        <v>164</v>
      </c>
    </row>
    <row r="366" spans="1:15" x14ac:dyDescent="0.35">
      <c r="A366" s="1" t="s">
        <v>125</v>
      </c>
      <c r="B366" s="1" t="s">
        <v>126</v>
      </c>
      <c r="C366" s="1" t="s">
        <v>85</v>
      </c>
      <c r="D366" s="1">
        <v>2017</v>
      </c>
      <c r="E366" s="1">
        <v>2017</v>
      </c>
      <c r="F366" s="1" t="s">
        <v>292</v>
      </c>
      <c r="G366" s="1" t="s">
        <v>113</v>
      </c>
      <c r="H366" s="1" t="s">
        <v>109</v>
      </c>
      <c r="I366" s="1" t="s">
        <v>110</v>
      </c>
      <c r="J366" s="1">
        <v>0.75</v>
      </c>
      <c r="K366" s="1" t="s">
        <v>171</v>
      </c>
      <c r="L366" s="1">
        <v>3000</v>
      </c>
      <c r="M366" s="1" t="s">
        <v>85</v>
      </c>
      <c r="N366" s="1">
        <v>42.73</v>
      </c>
      <c r="O366" s="1" t="s">
        <v>164</v>
      </c>
    </row>
    <row r="367" spans="1:15" x14ac:dyDescent="0.35">
      <c r="A367" s="1" t="s">
        <v>125</v>
      </c>
      <c r="B367" s="1" t="s">
        <v>126</v>
      </c>
      <c r="C367" s="1" t="s">
        <v>85</v>
      </c>
      <c r="D367" s="1">
        <v>2017</v>
      </c>
      <c r="E367" s="1">
        <v>2017</v>
      </c>
      <c r="F367" s="1" t="s">
        <v>292</v>
      </c>
      <c r="G367" s="1" t="s">
        <v>113</v>
      </c>
      <c r="H367" s="1" t="s">
        <v>109</v>
      </c>
      <c r="I367" s="1" t="s">
        <v>110</v>
      </c>
      <c r="J367" s="1">
        <v>1</v>
      </c>
      <c r="K367" s="1" t="s">
        <v>171</v>
      </c>
      <c r="L367" s="1">
        <v>5000</v>
      </c>
      <c r="M367" s="1" t="s">
        <v>85</v>
      </c>
      <c r="N367" s="1">
        <v>63.09</v>
      </c>
      <c r="O367" s="1" t="s">
        <v>164</v>
      </c>
    </row>
    <row r="368" spans="1:15" x14ac:dyDescent="0.35">
      <c r="A368" s="1" t="s">
        <v>125</v>
      </c>
      <c r="B368" s="1" t="s">
        <v>126</v>
      </c>
      <c r="C368" s="1" t="s">
        <v>85</v>
      </c>
      <c r="D368" s="1">
        <v>2017</v>
      </c>
      <c r="E368" s="1">
        <v>2017</v>
      </c>
      <c r="F368" s="1" t="s">
        <v>292</v>
      </c>
      <c r="G368" s="1" t="s">
        <v>113</v>
      </c>
      <c r="H368" s="1" t="s">
        <v>109</v>
      </c>
      <c r="I368" s="1" t="s">
        <v>110</v>
      </c>
      <c r="J368" s="1">
        <v>1.25</v>
      </c>
      <c r="K368" s="1" t="s">
        <v>171</v>
      </c>
      <c r="L368" s="1">
        <v>6660</v>
      </c>
      <c r="M368" s="1" t="s">
        <v>85</v>
      </c>
      <c r="N368" s="1">
        <v>80</v>
      </c>
      <c r="O368" s="1" t="s">
        <v>164</v>
      </c>
    </row>
    <row r="369" spans="1:15" x14ac:dyDescent="0.35">
      <c r="A369" s="1" t="s">
        <v>125</v>
      </c>
      <c r="B369" s="1" t="s">
        <v>126</v>
      </c>
      <c r="C369" s="1" t="s">
        <v>85</v>
      </c>
      <c r="D369" s="1">
        <v>2017</v>
      </c>
      <c r="E369" s="1">
        <v>2017</v>
      </c>
      <c r="F369" s="1" t="s">
        <v>292</v>
      </c>
      <c r="G369" s="1" t="s">
        <v>113</v>
      </c>
      <c r="H369" s="1" t="s">
        <v>109</v>
      </c>
      <c r="I369" s="1" t="s">
        <v>110</v>
      </c>
      <c r="J369" s="1">
        <v>1.5</v>
      </c>
      <c r="K369" s="1" t="s">
        <v>171</v>
      </c>
      <c r="L369" s="1">
        <v>10000</v>
      </c>
      <c r="M369" s="1" t="s">
        <v>85</v>
      </c>
      <c r="N369" s="1">
        <v>113.99</v>
      </c>
      <c r="O369" s="1" t="s">
        <v>164</v>
      </c>
    </row>
    <row r="370" spans="1:15" x14ac:dyDescent="0.35">
      <c r="A370" s="1" t="s">
        <v>125</v>
      </c>
      <c r="B370" s="1" t="s">
        <v>126</v>
      </c>
      <c r="C370" s="1" t="s">
        <v>85</v>
      </c>
      <c r="D370" s="1">
        <v>2017</v>
      </c>
      <c r="E370" s="1">
        <v>2017</v>
      </c>
      <c r="F370" s="1" t="s">
        <v>292</v>
      </c>
      <c r="G370" s="1" t="s">
        <v>113</v>
      </c>
      <c r="H370" s="1" t="s">
        <v>109</v>
      </c>
      <c r="I370" s="1" t="s">
        <v>110</v>
      </c>
      <c r="J370" s="1">
        <v>2</v>
      </c>
      <c r="K370" s="1" t="s">
        <v>171</v>
      </c>
      <c r="L370" s="1">
        <v>16000</v>
      </c>
      <c r="M370" s="1" t="s">
        <v>85</v>
      </c>
      <c r="N370" s="1">
        <v>175.06</v>
      </c>
      <c r="O370" s="1" t="s">
        <v>164</v>
      </c>
    </row>
    <row r="371" spans="1:15" x14ac:dyDescent="0.35">
      <c r="A371" s="1" t="s">
        <v>125</v>
      </c>
      <c r="B371" s="1" t="s">
        <v>126</v>
      </c>
      <c r="C371" s="1" t="s">
        <v>85</v>
      </c>
      <c r="D371" s="1">
        <v>2017</v>
      </c>
      <c r="E371" s="1">
        <v>2017</v>
      </c>
      <c r="F371" s="1" t="s">
        <v>292</v>
      </c>
      <c r="G371" s="1" t="s">
        <v>113</v>
      </c>
      <c r="H371" s="1" t="s">
        <v>109</v>
      </c>
      <c r="I371" s="1" t="s">
        <v>110</v>
      </c>
      <c r="J371" s="1">
        <v>3</v>
      </c>
      <c r="K371" s="1" t="s">
        <v>171</v>
      </c>
      <c r="L371" s="1">
        <v>30000</v>
      </c>
      <c r="M371" s="1" t="s">
        <v>85</v>
      </c>
      <c r="N371" s="1">
        <v>317.60000000000002</v>
      </c>
      <c r="O371" s="1" t="s">
        <v>164</v>
      </c>
    </row>
    <row r="372" spans="1:15" x14ac:dyDescent="0.35">
      <c r="A372" s="1" t="s">
        <v>125</v>
      </c>
      <c r="B372" s="1" t="s">
        <v>126</v>
      </c>
      <c r="C372" s="1" t="s">
        <v>85</v>
      </c>
      <c r="D372" s="1">
        <v>2017</v>
      </c>
      <c r="E372" s="1">
        <v>2017</v>
      </c>
      <c r="F372" s="1" t="s">
        <v>292</v>
      </c>
      <c r="G372" s="1" t="s">
        <v>113</v>
      </c>
      <c r="H372" s="1" t="s">
        <v>109</v>
      </c>
      <c r="I372" s="1" t="s">
        <v>110</v>
      </c>
      <c r="J372" s="1">
        <v>4</v>
      </c>
      <c r="K372" s="1" t="s">
        <v>171</v>
      </c>
      <c r="L372" s="1">
        <v>50000</v>
      </c>
      <c r="M372" s="1" t="s">
        <v>85</v>
      </c>
      <c r="N372" s="1">
        <v>521.19000000000005</v>
      </c>
      <c r="O372" s="1" t="s">
        <v>164</v>
      </c>
    </row>
    <row r="373" spans="1:15" x14ac:dyDescent="0.35">
      <c r="A373" s="1" t="s">
        <v>125</v>
      </c>
      <c r="B373" s="1" t="s">
        <v>126</v>
      </c>
      <c r="C373" s="1" t="s">
        <v>85</v>
      </c>
      <c r="D373" s="1">
        <v>2017</v>
      </c>
      <c r="E373" s="1">
        <v>2017</v>
      </c>
      <c r="F373" s="1" t="s">
        <v>292</v>
      </c>
      <c r="G373" s="1" t="s">
        <v>113</v>
      </c>
      <c r="H373" s="1" t="s">
        <v>109</v>
      </c>
      <c r="I373" s="1" t="s">
        <v>110</v>
      </c>
      <c r="J373" s="1">
        <v>6</v>
      </c>
      <c r="K373" s="1" t="s">
        <v>171</v>
      </c>
      <c r="L373" s="1">
        <v>100000</v>
      </c>
      <c r="M373" s="1" t="s">
        <v>85</v>
      </c>
      <c r="N373" s="1">
        <v>1030.19</v>
      </c>
      <c r="O373" s="1" t="s">
        <v>164</v>
      </c>
    </row>
    <row r="374" spans="1:15" x14ac:dyDescent="0.35">
      <c r="A374" s="1" t="s">
        <v>125</v>
      </c>
      <c r="B374" s="1" t="s">
        <v>126</v>
      </c>
      <c r="C374" s="1" t="s">
        <v>85</v>
      </c>
      <c r="D374" s="1">
        <v>2017</v>
      </c>
      <c r="E374" s="1">
        <v>2017</v>
      </c>
      <c r="F374" s="1" t="s">
        <v>292</v>
      </c>
      <c r="G374" s="1" t="s">
        <v>113</v>
      </c>
      <c r="H374" s="1" t="s">
        <v>109</v>
      </c>
      <c r="I374" s="1" t="s">
        <v>110</v>
      </c>
      <c r="J374" s="1">
        <v>8</v>
      </c>
      <c r="K374" s="1" t="s">
        <v>171</v>
      </c>
      <c r="L374" s="1">
        <v>160000</v>
      </c>
      <c r="M374" s="1" t="s">
        <v>85</v>
      </c>
      <c r="N374" s="1">
        <v>1641</v>
      </c>
      <c r="O374" s="1" t="s">
        <v>164</v>
      </c>
    </row>
    <row r="375" spans="1:15" x14ac:dyDescent="0.35">
      <c r="A375" s="1" t="s">
        <v>125</v>
      </c>
      <c r="B375" s="1" t="s">
        <v>126</v>
      </c>
      <c r="C375" s="1" t="s">
        <v>85</v>
      </c>
      <c r="D375" s="1">
        <v>2017</v>
      </c>
      <c r="E375" s="1">
        <v>2017</v>
      </c>
      <c r="F375" s="1" t="s">
        <v>292</v>
      </c>
      <c r="G375" s="1" t="s">
        <v>113</v>
      </c>
      <c r="H375" s="1" t="s">
        <v>109</v>
      </c>
      <c r="I375" s="1" t="s">
        <v>110</v>
      </c>
      <c r="J375" s="1">
        <v>10</v>
      </c>
      <c r="K375" s="1" t="s">
        <v>171</v>
      </c>
      <c r="L375" s="1">
        <v>230000</v>
      </c>
      <c r="M375" s="1" t="s">
        <v>85</v>
      </c>
      <c r="N375" s="1">
        <v>2353.59</v>
      </c>
      <c r="O375" s="1" t="s">
        <v>164</v>
      </c>
    </row>
    <row r="376" spans="1:15" x14ac:dyDescent="0.35">
      <c r="A376" s="1" t="s">
        <v>125</v>
      </c>
      <c r="B376" s="1" t="s">
        <v>126</v>
      </c>
      <c r="C376" s="1" t="s">
        <v>85</v>
      </c>
      <c r="D376" s="1">
        <v>2017</v>
      </c>
      <c r="E376" s="1">
        <v>2016</v>
      </c>
      <c r="F376" s="1" t="s">
        <v>103</v>
      </c>
      <c r="G376" s="1" t="s">
        <v>113</v>
      </c>
      <c r="H376" s="1" t="s">
        <v>111</v>
      </c>
      <c r="I376" s="1" t="s">
        <v>294</v>
      </c>
      <c r="J376" s="1" t="s">
        <v>85</v>
      </c>
      <c r="K376" s="1" t="s">
        <v>85</v>
      </c>
      <c r="L376" s="1" t="s">
        <v>85</v>
      </c>
      <c r="M376" s="1" t="s">
        <v>85</v>
      </c>
      <c r="N376" s="1">
        <v>6.68</v>
      </c>
      <c r="O376" s="1" t="s">
        <v>172</v>
      </c>
    </row>
    <row r="377" spans="1:15" x14ac:dyDescent="0.35">
      <c r="A377" s="1" t="s">
        <v>125</v>
      </c>
      <c r="B377" s="1" t="s">
        <v>126</v>
      </c>
      <c r="C377" s="1" t="s">
        <v>85</v>
      </c>
      <c r="D377" s="1">
        <v>2017</v>
      </c>
      <c r="E377" s="1">
        <v>2107</v>
      </c>
      <c r="F377" s="1" t="s">
        <v>292</v>
      </c>
      <c r="G377" s="1" t="s">
        <v>113</v>
      </c>
      <c r="H377" s="1" t="s">
        <v>111</v>
      </c>
      <c r="I377" s="1" t="s">
        <v>294</v>
      </c>
      <c r="J377" s="1" t="s">
        <v>85</v>
      </c>
      <c r="K377" s="1" t="s">
        <v>85</v>
      </c>
      <c r="L377" s="1" t="s">
        <v>85</v>
      </c>
      <c r="M377" s="1" t="s">
        <v>85</v>
      </c>
      <c r="N377" s="1">
        <v>9.5500000000000007</v>
      </c>
      <c r="O377" s="1" t="s">
        <v>172</v>
      </c>
    </row>
    <row r="378" spans="1:15" x14ac:dyDescent="0.35">
      <c r="A378" s="1" t="s">
        <v>125</v>
      </c>
      <c r="B378" s="1" t="s">
        <v>126</v>
      </c>
      <c r="C378" s="1" t="s">
        <v>85</v>
      </c>
      <c r="D378" s="1">
        <v>2017</v>
      </c>
      <c r="E378" s="1">
        <v>2016</v>
      </c>
      <c r="F378" s="1" t="s">
        <v>103</v>
      </c>
      <c r="G378" s="1" t="s">
        <v>113</v>
      </c>
      <c r="H378" s="1" t="s">
        <v>111</v>
      </c>
      <c r="I378" s="1" t="s">
        <v>293</v>
      </c>
      <c r="J378" s="1">
        <v>750000</v>
      </c>
      <c r="K378" s="1" t="s">
        <v>112</v>
      </c>
      <c r="L378" s="1" t="s">
        <v>85</v>
      </c>
      <c r="M378" s="1" t="s">
        <v>85</v>
      </c>
      <c r="N378" s="1">
        <v>8.2146000000000008</v>
      </c>
      <c r="O378" s="1" t="s">
        <v>172</v>
      </c>
    </row>
    <row r="379" spans="1:15" x14ac:dyDescent="0.35">
      <c r="A379" s="1" t="s">
        <v>125</v>
      </c>
      <c r="B379" s="1" t="s">
        <v>126</v>
      </c>
      <c r="C379" s="1" t="s">
        <v>85</v>
      </c>
      <c r="D379" s="1">
        <v>2017</v>
      </c>
      <c r="E379" s="1">
        <v>2016</v>
      </c>
      <c r="F379" s="1" t="s">
        <v>103</v>
      </c>
      <c r="G379" s="1" t="s">
        <v>113</v>
      </c>
      <c r="H379" s="1" t="s">
        <v>111</v>
      </c>
      <c r="I379" s="1" t="s">
        <v>293</v>
      </c>
      <c r="J379" s="1">
        <v>3750000</v>
      </c>
      <c r="K379" s="1" t="s">
        <v>112</v>
      </c>
      <c r="L379" s="1" t="s">
        <v>85</v>
      </c>
      <c r="M379" s="1" t="s">
        <v>85</v>
      </c>
      <c r="N379" s="1">
        <v>7.1811999999999996</v>
      </c>
      <c r="O379" s="1" t="s">
        <v>172</v>
      </c>
    </row>
    <row r="380" spans="1:15" x14ac:dyDescent="0.35">
      <c r="A380" s="1" t="s">
        <v>125</v>
      </c>
      <c r="B380" s="1" t="s">
        <v>126</v>
      </c>
      <c r="C380" s="1" t="s">
        <v>85</v>
      </c>
      <c r="D380" s="1">
        <v>2017</v>
      </c>
      <c r="E380" s="1">
        <v>2016</v>
      </c>
      <c r="F380" s="1" t="s">
        <v>103</v>
      </c>
      <c r="G380" s="1" t="s">
        <v>113</v>
      </c>
      <c r="H380" s="1" t="s">
        <v>111</v>
      </c>
      <c r="I380" s="1" t="s">
        <v>293</v>
      </c>
      <c r="J380" s="1" t="s">
        <v>174</v>
      </c>
      <c r="K380" s="1" t="s">
        <v>112</v>
      </c>
      <c r="L380" s="1" t="s">
        <v>85</v>
      </c>
      <c r="M380" s="1" t="s">
        <v>85</v>
      </c>
      <c r="N380" s="1">
        <v>6.0682</v>
      </c>
      <c r="O380" s="1" t="s">
        <v>172</v>
      </c>
    </row>
    <row r="381" spans="1:15" x14ac:dyDescent="0.35">
      <c r="A381" s="1" t="s">
        <v>125</v>
      </c>
      <c r="B381" s="1" t="s">
        <v>126</v>
      </c>
      <c r="C381" s="1" t="s">
        <v>85</v>
      </c>
      <c r="D381" s="1">
        <v>2017</v>
      </c>
      <c r="E381" s="1">
        <v>2017</v>
      </c>
      <c r="F381" s="1" t="s">
        <v>292</v>
      </c>
      <c r="G381" s="1" t="s">
        <v>113</v>
      </c>
      <c r="H381" s="1" t="s">
        <v>111</v>
      </c>
      <c r="I381" s="1" t="s">
        <v>293</v>
      </c>
      <c r="J381" s="1">
        <v>750000</v>
      </c>
      <c r="K381" s="1" t="s">
        <v>112</v>
      </c>
      <c r="L381" s="1" t="s">
        <v>85</v>
      </c>
      <c r="M381" s="1" t="s">
        <v>85</v>
      </c>
      <c r="N381" s="1">
        <v>10.18</v>
      </c>
      <c r="O381" s="1" t="s">
        <v>172</v>
      </c>
    </row>
    <row r="382" spans="1:15" x14ac:dyDescent="0.35">
      <c r="A382" s="1" t="s">
        <v>125</v>
      </c>
      <c r="B382" s="1" t="s">
        <v>126</v>
      </c>
      <c r="C382" s="1" t="s">
        <v>85</v>
      </c>
      <c r="D382" s="1">
        <v>2017</v>
      </c>
      <c r="E382" s="1">
        <v>2017</v>
      </c>
      <c r="F382" s="1" t="s">
        <v>292</v>
      </c>
      <c r="G382" s="1" t="s">
        <v>113</v>
      </c>
      <c r="H382" s="1" t="s">
        <v>111</v>
      </c>
      <c r="I382" s="1" t="s">
        <v>293</v>
      </c>
      <c r="J382" s="1">
        <v>3750000</v>
      </c>
      <c r="K382" s="1" t="s">
        <v>112</v>
      </c>
      <c r="L382" s="1" t="s">
        <v>85</v>
      </c>
      <c r="M382" s="1" t="s">
        <v>85</v>
      </c>
      <c r="N382" s="1">
        <v>8.14</v>
      </c>
      <c r="O382" s="1" t="s">
        <v>172</v>
      </c>
    </row>
    <row r="383" spans="1:15" x14ac:dyDescent="0.35">
      <c r="A383" s="1" t="s">
        <v>125</v>
      </c>
      <c r="B383" s="1" t="s">
        <v>126</v>
      </c>
      <c r="C383" s="1" t="s">
        <v>85</v>
      </c>
      <c r="D383" s="1">
        <v>2017</v>
      </c>
      <c r="E383" s="1">
        <v>2017</v>
      </c>
      <c r="F383" s="1" t="s">
        <v>292</v>
      </c>
      <c r="G383" s="1" t="s">
        <v>113</v>
      </c>
      <c r="H383" s="1" t="s">
        <v>111</v>
      </c>
      <c r="I383" s="1" t="s">
        <v>293</v>
      </c>
      <c r="J383" s="1" t="s">
        <v>174</v>
      </c>
      <c r="K383" s="1" t="s">
        <v>112</v>
      </c>
      <c r="L383" s="1" t="s">
        <v>85</v>
      </c>
      <c r="M383" s="1" t="s">
        <v>85</v>
      </c>
      <c r="N383" s="1">
        <v>7.68</v>
      </c>
      <c r="O383" s="1" t="s">
        <v>172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4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43" sqref="D43"/>
    </sheetView>
  </sheetViews>
  <sheetFormatPr defaultColWidth="8.90625" defaultRowHeight="14.5" x14ac:dyDescent="0.35"/>
  <cols>
    <col min="1" max="3" width="8.90625" style="1"/>
    <col min="4" max="4" width="34.08984375" style="1" customWidth="1"/>
    <col min="5" max="5" width="10.453125" style="1" bestFit="1" customWidth="1"/>
    <col min="6" max="6" width="11.6328125" style="1" customWidth="1"/>
    <col min="7" max="7" width="10.453125" style="1" bestFit="1" customWidth="1"/>
    <col min="8" max="18" width="11.453125" style="1" bestFit="1" customWidth="1"/>
    <col min="19" max="19" width="12.90625" style="1" customWidth="1"/>
    <col min="20" max="21" width="11.453125" style="1" bestFit="1" customWidth="1"/>
    <col min="22" max="23" width="12.6328125" style="1" customWidth="1"/>
    <col min="24" max="25" width="11.453125" style="1" bestFit="1" customWidth="1"/>
    <col min="26" max="26" width="11.6328125" style="1" customWidth="1"/>
    <col min="27" max="29" width="11.453125" style="1" bestFit="1" customWidth="1"/>
    <col min="30" max="16384" width="8.90625" style="1"/>
  </cols>
  <sheetData>
    <row r="1" spans="1:29" x14ac:dyDescent="0.35">
      <c r="E1" s="11"/>
      <c r="F1" s="10"/>
      <c r="G1" s="10"/>
      <c r="H1" s="10"/>
      <c r="I1" s="10"/>
      <c r="J1" s="12"/>
      <c r="K1" s="12"/>
      <c r="L1" s="12"/>
      <c r="M1" s="12"/>
      <c r="N1" s="12"/>
      <c r="O1" s="12"/>
      <c r="P1" s="12"/>
      <c r="Q1" s="12"/>
      <c r="R1" s="12"/>
      <c r="S1" s="13" t="s">
        <v>34</v>
      </c>
      <c r="T1" s="12"/>
      <c r="U1" s="12"/>
      <c r="V1" s="12"/>
      <c r="W1" s="13" t="s">
        <v>35</v>
      </c>
      <c r="X1" s="12"/>
      <c r="Y1" s="12"/>
      <c r="Z1" s="12"/>
      <c r="AA1" s="12"/>
      <c r="AB1" s="12"/>
    </row>
    <row r="2" spans="1:29" x14ac:dyDescent="0.35">
      <c r="A2" s="2" t="s">
        <v>0</v>
      </c>
      <c r="B2" s="2" t="s">
        <v>27</v>
      </c>
      <c r="C2" s="2" t="s">
        <v>423</v>
      </c>
      <c r="D2" s="2" t="s">
        <v>424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124</v>
      </c>
    </row>
    <row r="3" spans="1:29" x14ac:dyDescent="0.35">
      <c r="A3" s="1" t="s">
        <v>125</v>
      </c>
      <c r="B3" s="1" t="s">
        <v>126</v>
      </c>
      <c r="C3" s="1" t="s">
        <v>60</v>
      </c>
      <c r="D3" s="1" t="s">
        <v>192</v>
      </c>
      <c r="E3" s="10">
        <v>5830016</v>
      </c>
      <c r="F3" s="10">
        <v>9530739</v>
      </c>
      <c r="G3" s="10">
        <v>9797467</v>
      </c>
      <c r="H3" s="10" t="s">
        <v>85</v>
      </c>
      <c r="I3" s="10" t="s">
        <v>85</v>
      </c>
      <c r="J3" s="12">
        <v>10028307</v>
      </c>
      <c r="K3" s="12">
        <v>11319149</v>
      </c>
      <c r="L3" s="12">
        <v>11640318</v>
      </c>
      <c r="M3" s="12">
        <v>11675340</v>
      </c>
      <c r="N3" s="12">
        <v>11756613</v>
      </c>
      <c r="O3" s="12">
        <v>12125485</v>
      </c>
      <c r="P3" s="12">
        <v>11878975</v>
      </c>
      <c r="Q3" s="12">
        <v>14335160</v>
      </c>
      <c r="R3" s="12">
        <v>16387626</v>
      </c>
      <c r="S3" s="12">
        <v>16604898</v>
      </c>
      <c r="T3" s="12">
        <v>18237476</v>
      </c>
      <c r="U3" s="12">
        <v>19987932</v>
      </c>
      <c r="V3" s="12">
        <v>22544371</v>
      </c>
      <c r="W3" s="12">
        <v>22677064</v>
      </c>
      <c r="X3" s="12">
        <v>25363651</v>
      </c>
      <c r="Y3" s="12">
        <v>25069812</v>
      </c>
      <c r="Z3" s="12">
        <v>26195054</v>
      </c>
      <c r="AA3" s="12">
        <v>29622297</v>
      </c>
      <c r="AB3" s="12">
        <v>29736140</v>
      </c>
      <c r="AC3" s="1">
        <v>29663185</v>
      </c>
    </row>
    <row r="4" spans="1:29" x14ac:dyDescent="0.35">
      <c r="A4" s="1" t="s">
        <v>125</v>
      </c>
      <c r="B4" s="1" t="s">
        <v>126</v>
      </c>
      <c r="C4" s="1" t="s">
        <v>60</v>
      </c>
      <c r="D4" s="1" t="s">
        <v>193</v>
      </c>
      <c r="E4" s="10">
        <v>16318</v>
      </c>
      <c r="F4" s="10">
        <v>87802</v>
      </c>
      <c r="G4" s="10">
        <v>69695</v>
      </c>
      <c r="H4" s="10" t="s">
        <v>85</v>
      </c>
      <c r="I4" s="10" t="s">
        <v>85</v>
      </c>
      <c r="J4" s="12">
        <v>90080</v>
      </c>
      <c r="K4" s="12">
        <v>98257</v>
      </c>
      <c r="L4" s="12">
        <v>105933</v>
      </c>
      <c r="M4" s="12">
        <v>69538</v>
      </c>
      <c r="N4" s="12">
        <v>159827</v>
      </c>
      <c r="O4" s="12">
        <v>203937</v>
      </c>
      <c r="P4" s="12">
        <v>322890</v>
      </c>
      <c r="Q4" s="12">
        <v>93387</v>
      </c>
      <c r="R4" s="12">
        <v>312514</v>
      </c>
      <c r="S4" s="12">
        <v>283575</v>
      </c>
      <c r="T4" s="12">
        <v>157979</v>
      </c>
      <c r="U4" s="12">
        <v>157335</v>
      </c>
      <c r="V4" s="12">
        <v>133518</v>
      </c>
      <c r="W4" s="12">
        <v>202631</v>
      </c>
      <c r="X4" s="12">
        <v>61258</v>
      </c>
      <c r="Y4" s="12">
        <v>102241</v>
      </c>
      <c r="Z4" s="12">
        <v>103322</v>
      </c>
      <c r="AA4" s="12">
        <v>86244</v>
      </c>
      <c r="AB4" s="12">
        <v>177175</v>
      </c>
      <c r="AC4" s="1">
        <v>50610</v>
      </c>
    </row>
    <row r="5" spans="1:29" x14ac:dyDescent="0.35">
      <c r="A5" s="1" t="s">
        <v>125</v>
      </c>
      <c r="B5" s="1" t="s">
        <v>126</v>
      </c>
      <c r="C5" s="1" t="s">
        <v>60</v>
      </c>
      <c r="D5" s="1" t="s">
        <v>203</v>
      </c>
      <c r="E5" s="10" t="s">
        <v>85</v>
      </c>
      <c r="F5" s="10" t="s">
        <v>85</v>
      </c>
      <c r="G5" s="10" t="s">
        <v>85</v>
      </c>
      <c r="H5" s="10" t="s">
        <v>85</v>
      </c>
      <c r="I5" s="10" t="s">
        <v>85</v>
      </c>
      <c r="J5" s="12">
        <v>30499</v>
      </c>
      <c r="K5" s="12">
        <v>35182</v>
      </c>
      <c r="L5" s="12">
        <v>35947</v>
      </c>
      <c r="M5" s="12">
        <v>39981</v>
      </c>
      <c r="N5" s="12">
        <v>95481</v>
      </c>
      <c r="O5" s="12">
        <v>76384</v>
      </c>
      <c r="P5" s="12">
        <v>63787</v>
      </c>
      <c r="Q5" s="12">
        <v>39107</v>
      </c>
      <c r="R5" s="12">
        <v>90289</v>
      </c>
      <c r="S5" s="12">
        <v>87264</v>
      </c>
      <c r="T5" s="12">
        <v>21419</v>
      </c>
      <c r="U5" s="12">
        <v>51519</v>
      </c>
      <c r="V5" s="12">
        <v>23531</v>
      </c>
      <c r="W5" s="12">
        <v>38673</v>
      </c>
      <c r="X5" s="12">
        <v>71207</v>
      </c>
      <c r="Y5" s="12">
        <v>4333</v>
      </c>
      <c r="Z5" s="12">
        <v>14633</v>
      </c>
      <c r="AA5" s="12">
        <v>32001</v>
      </c>
      <c r="AB5" s="12">
        <v>60907</v>
      </c>
      <c r="AC5" s="12">
        <v>20107</v>
      </c>
    </row>
    <row r="6" spans="1:29" x14ac:dyDescent="0.35">
      <c r="A6" s="1" t="s">
        <v>125</v>
      </c>
      <c r="B6" s="1" t="s">
        <v>126</v>
      </c>
      <c r="C6" s="1" t="s">
        <v>60</v>
      </c>
      <c r="D6" s="1" t="s">
        <v>303</v>
      </c>
      <c r="E6" s="10" t="s">
        <v>85</v>
      </c>
      <c r="F6" s="10" t="s">
        <v>85</v>
      </c>
      <c r="G6" s="10" t="s">
        <v>85</v>
      </c>
      <c r="H6" s="10" t="s">
        <v>85</v>
      </c>
      <c r="I6" s="10" t="s">
        <v>85</v>
      </c>
      <c r="J6" s="10" t="s">
        <v>85</v>
      </c>
      <c r="K6" s="10" t="s">
        <v>85</v>
      </c>
      <c r="L6" s="10" t="s">
        <v>85</v>
      </c>
      <c r="M6" s="10" t="s">
        <v>85</v>
      </c>
      <c r="N6" s="10" t="s">
        <v>85</v>
      </c>
      <c r="O6" s="10" t="s">
        <v>85</v>
      </c>
      <c r="P6" s="10" t="s">
        <v>85</v>
      </c>
      <c r="Q6" s="10">
        <v>0</v>
      </c>
      <c r="R6" s="12">
        <v>818503</v>
      </c>
      <c r="S6" s="12">
        <v>341901</v>
      </c>
      <c r="T6" s="12">
        <v>415319</v>
      </c>
      <c r="U6" s="12">
        <v>395410</v>
      </c>
      <c r="V6" s="12">
        <v>491790</v>
      </c>
      <c r="W6" s="12">
        <v>457101</v>
      </c>
      <c r="X6" s="12">
        <v>406039</v>
      </c>
      <c r="Y6" s="12">
        <v>489792</v>
      </c>
      <c r="Z6" s="12">
        <v>583221</v>
      </c>
      <c r="AA6" s="12">
        <v>586502</v>
      </c>
      <c r="AB6" s="12">
        <v>472340</v>
      </c>
      <c r="AC6" s="12">
        <v>541209</v>
      </c>
    </row>
    <row r="7" spans="1:29" x14ac:dyDescent="0.35">
      <c r="A7" s="1" t="s">
        <v>125</v>
      </c>
      <c r="B7" s="1" t="s">
        <v>126</v>
      </c>
      <c r="C7" s="1" t="s">
        <v>60</v>
      </c>
      <c r="D7" s="1" t="s">
        <v>304</v>
      </c>
      <c r="E7" s="10" t="s">
        <v>85</v>
      </c>
      <c r="F7" s="10" t="s">
        <v>85</v>
      </c>
      <c r="G7" s="10" t="s">
        <v>85</v>
      </c>
      <c r="H7" s="10" t="s">
        <v>85</v>
      </c>
      <c r="I7" s="10" t="s">
        <v>85</v>
      </c>
      <c r="J7" s="10" t="s">
        <v>85</v>
      </c>
      <c r="K7" s="10" t="s">
        <v>85</v>
      </c>
      <c r="L7" s="10" t="s">
        <v>85</v>
      </c>
      <c r="M7" s="10" t="s">
        <v>85</v>
      </c>
      <c r="N7" s="10" t="s">
        <v>85</v>
      </c>
      <c r="O7" s="10" t="s">
        <v>85</v>
      </c>
      <c r="P7" s="10" t="s">
        <v>85</v>
      </c>
      <c r="Q7" s="10">
        <v>212107</v>
      </c>
      <c r="R7" s="10">
        <v>217273</v>
      </c>
      <c r="S7" s="10">
        <v>189553</v>
      </c>
      <c r="T7" s="10">
        <v>282498</v>
      </c>
      <c r="U7" s="10">
        <v>397579</v>
      </c>
      <c r="V7" s="10">
        <v>474164</v>
      </c>
      <c r="W7" s="12">
        <v>822344</v>
      </c>
      <c r="X7" s="12">
        <v>864513</v>
      </c>
      <c r="Y7" s="12">
        <v>732964</v>
      </c>
      <c r="Z7" s="12">
        <v>789520</v>
      </c>
      <c r="AA7" s="12">
        <v>591344</v>
      </c>
      <c r="AB7" s="12">
        <v>449933</v>
      </c>
      <c r="AC7" s="1">
        <v>310720</v>
      </c>
    </row>
    <row r="8" spans="1:29" x14ac:dyDescent="0.35">
      <c r="A8" s="1" t="s">
        <v>125</v>
      </c>
      <c r="B8" s="1" t="s">
        <v>126</v>
      </c>
      <c r="C8" s="1" t="s">
        <v>60</v>
      </c>
      <c r="E8" s="10" t="s">
        <v>85</v>
      </c>
      <c r="F8" s="10" t="s">
        <v>85</v>
      </c>
      <c r="G8" s="10" t="s">
        <v>85</v>
      </c>
      <c r="H8" s="10" t="s">
        <v>85</v>
      </c>
      <c r="I8" s="10" t="s">
        <v>85</v>
      </c>
      <c r="J8" s="10" t="s">
        <v>85</v>
      </c>
      <c r="K8" s="10" t="s">
        <v>85</v>
      </c>
      <c r="L8" s="10" t="s">
        <v>85</v>
      </c>
      <c r="M8" s="10" t="s">
        <v>85</v>
      </c>
      <c r="N8" s="10" t="s">
        <v>85</v>
      </c>
      <c r="O8" s="10" t="s">
        <v>85</v>
      </c>
      <c r="P8" s="10" t="s">
        <v>85</v>
      </c>
      <c r="Q8" s="10" t="s">
        <v>85</v>
      </c>
      <c r="R8" s="10" t="s">
        <v>85</v>
      </c>
      <c r="S8" s="10" t="s">
        <v>85</v>
      </c>
      <c r="T8" s="10" t="s">
        <v>85</v>
      </c>
      <c r="U8" s="10" t="s">
        <v>85</v>
      </c>
      <c r="V8" s="10" t="s">
        <v>85</v>
      </c>
      <c r="W8" s="10" t="s">
        <v>85</v>
      </c>
      <c r="X8" s="10" t="s">
        <v>85</v>
      </c>
      <c r="Y8" s="10" t="s">
        <v>85</v>
      </c>
      <c r="Z8" s="10" t="s">
        <v>85</v>
      </c>
      <c r="AA8" s="10" t="s">
        <v>85</v>
      </c>
      <c r="AB8" s="10" t="s">
        <v>85</v>
      </c>
      <c r="AC8" s="10" t="s">
        <v>85</v>
      </c>
    </row>
    <row r="9" spans="1:29" x14ac:dyDescent="0.35">
      <c r="A9" s="1" t="s">
        <v>125</v>
      </c>
      <c r="B9" s="1" t="s">
        <v>126</v>
      </c>
      <c r="C9" s="7" t="s">
        <v>60</v>
      </c>
      <c r="D9" s="7" t="s">
        <v>65</v>
      </c>
      <c r="E9" s="14">
        <f>SUM(E3:E8)</f>
        <v>5846334</v>
      </c>
      <c r="F9" s="11">
        <v>9918541</v>
      </c>
      <c r="G9" s="14">
        <f>SUM(G3:G8)</f>
        <v>9867162</v>
      </c>
      <c r="H9" s="10" t="s">
        <v>85</v>
      </c>
      <c r="I9" s="10" t="s">
        <v>85</v>
      </c>
      <c r="J9" s="14">
        <f t="shared" ref="J9:AC9" si="0">SUM(J3:J8)</f>
        <v>10148886</v>
      </c>
      <c r="K9" s="14">
        <f t="shared" si="0"/>
        <v>11452588</v>
      </c>
      <c r="L9" s="14">
        <f t="shared" si="0"/>
        <v>11782198</v>
      </c>
      <c r="M9" s="14">
        <f t="shared" si="0"/>
        <v>11784859</v>
      </c>
      <c r="N9" s="14">
        <f t="shared" si="0"/>
        <v>12011921</v>
      </c>
      <c r="O9" s="14">
        <f t="shared" si="0"/>
        <v>12405806</v>
      </c>
      <c r="P9" s="14">
        <f t="shared" si="0"/>
        <v>12265652</v>
      </c>
      <c r="Q9" s="14">
        <f t="shared" si="0"/>
        <v>14679761</v>
      </c>
      <c r="R9" s="14">
        <f t="shared" si="0"/>
        <v>17826205</v>
      </c>
      <c r="S9" s="14">
        <f t="shared" si="0"/>
        <v>17507191</v>
      </c>
      <c r="T9" s="14">
        <f t="shared" si="0"/>
        <v>19114691</v>
      </c>
      <c r="U9" s="14">
        <f t="shared" si="0"/>
        <v>20989775</v>
      </c>
      <c r="V9" s="14">
        <f t="shared" si="0"/>
        <v>23667374</v>
      </c>
      <c r="W9" s="14">
        <f t="shared" si="0"/>
        <v>24197813</v>
      </c>
      <c r="X9" s="14">
        <f t="shared" si="0"/>
        <v>26766668</v>
      </c>
      <c r="Y9" s="14">
        <f t="shared" si="0"/>
        <v>26399142</v>
      </c>
      <c r="Z9" s="14">
        <f t="shared" si="0"/>
        <v>27685750</v>
      </c>
      <c r="AA9" s="14">
        <f t="shared" si="0"/>
        <v>30918388</v>
      </c>
      <c r="AB9" s="14">
        <f t="shared" si="0"/>
        <v>30896495</v>
      </c>
      <c r="AC9" s="14">
        <f t="shared" si="0"/>
        <v>30585831</v>
      </c>
    </row>
    <row r="10" spans="1:29" x14ac:dyDescent="0.35">
      <c r="A10" s="1" t="s">
        <v>125</v>
      </c>
      <c r="B10" s="1" t="s">
        <v>126</v>
      </c>
      <c r="C10" s="1" t="s">
        <v>66</v>
      </c>
      <c r="D10" s="1" t="s">
        <v>228</v>
      </c>
      <c r="E10" s="10">
        <v>5510731</v>
      </c>
      <c r="F10" s="12">
        <v>8712246</v>
      </c>
      <c r="G10" s="12">
        <v>9500537</v>
      </c>
      <c r="H10" s="10" t="s">
        <v>85</v>
      </c>
      <c r="I10" s="10" t="s">
        <v>85</v>
      </c>
      <c r="J10" s="12">
        <v>9881934</v>
      </c>
      <c r="K10" s="12">
        <v>10030686</v>
      </c>
      <c r="L10" s="12">
        <v>10414106</v>
      </c>
      <c r="M10" s="12">
        <v>10823574</v>
      </c>
      <c r="N10" s="12">
        <v>10781904</v>
      </c>
      <c r="O10" s="12">
        <v>11485464</v>
      </c>
      <c r="P10" s="12">
        <v>11768045</v>
      </c>
      <c r="Q10" s="12">
        <v>11822143</v>
      </c>
      <c r="R10" s="12">
        <v>12830326</v>
      </c>
      <c r="S10" s="12">
        <v>13276508</v>
      </c>
      <c r="T10" s="12">
        <v>14071200</v>
      </c>
      <c r="U10" s="12">
        <v>16790137</v>
      </c>
      <c r="V10" s="12">
        <v>16875521</v>
      </c>
      <c r="W10" s="12">
        <v>13329961</v>
      </c>
      <c r="X10" s="12">
        <v>8831775</v>
      </c>
      <c r="Y10" s="12">
        <v>8783252</v>
      </c>
      <c r="Z10" s="12">
        <v>11522675</v>
      </c>
      <c r="AA10" s="12">
        <v>11222196</v>
      </c>
      <c r="AB10" s="12">
        <v>11426339</v>
      </c>
      <c r="AC10" s="1">
        <v>11616732</v>
      </c>
    </row>
    <row r="11" spans="1:29" x14ac:dyDescent="0.35">
      <c r="A11" s="1" t="s">
        <v>125</v>
      </c>
      <c r="B11" s="1" t="s">
        <v>126</v>
      </c>
      <c r="C11" s="1" t="s">
        <v>66</v>
      </c>
      <c r="D11" s="1" t="s">
        <v>194</v>
      </c>
      <c r="E11" s="10">
        <v>69021</v>
      </c>
      <c r="F11" s="12">
        <v>133650</v>
      </c>
      <c r="G11" s="12">
        <v>124510</v>
      </c>
      <c r="H11" s="10" t="s">
        <v>85</v>
      </c>
      <c r="I11" s="10" t="s">
        <v>85</v>
      </c>
      <c r="J11" s="12">
        <v>69098</v>
      </c>
      <c r="K11" s="12">
        <v>66158</v>
      </c>
      <c r="L11" s="12">
        <v>82881</v>
      </c>
      <c r="M11" s="12">
        <v>85506</v>
      </c>
      <c r="N11" s="12">
        <v>78598</v>
      </c>
      <c r="O11" s="12">
        <v>99960</v>
      </c>
      <c r="P11" s="12">
        <v>91690</v>
      </c>
      <c r="Q11" s="12">
        <v>72925</v>
      </c>
      <c r="R11" s="12">
        <v>71024</v>
      </c>
      <c r="S11" s="12">
        <v>85105</v>
      </c>
      <c r="T11" s="12">
        <v>85337</v>
      </c>
      <c r="U11" s="12">
        <v>118231</v>
      </c>
      <c r="V11" s="12">
        <v>168757</v>
      </c>
      <c r="W11" s="12">
        <v>207199</v>
      </c>
      <c r="X11" s="12">
        <v>32048</v>
      </c>
      <c r="Y11" s="12">
        <v>334698</v>
      </c>
      <c r="Z11" s="12">
        <v>319867</v>
      </c>
      <c r="AA11" s="12">
        <v>291985</v>
      </c>
      <c r="AB11" s="12">
        <v>400633</v>
      </c>
      <c r="AC11" s="1">
        <v>285347</v>
      </c>
    </row>
    <row r="12" spans="1:29" x14ac:dyDescent="0.35">
      <c r="A12" s="1" t="s">
        <v>125</v>
      </c>
      <c r="B12" s="1" t="s">
        <v>126</v>
      </c>
      <c r="C12" s="1" t="s">
        <v>66</v>
      </c>
      <c r="D12" s="1" t="s">
        <v>195</v>
      </c>
      <c r="E12" s="10">
        <v>173285</v>
      </c>
      <c r="F12" s="12">
        <v>71100</v>
      </c>
      <c r="G12" s="12">
        <v>0</v>
      </c>
      <c r="H12" s="10" t="s">
        <v>85</v>
      </c>
      <c r="I12" s="10" t="s">
        <v>85</v>
      </c>
      <c r="J12" s="12">
        <v>0</v>
      </c>
      <c r="K12" s="12">
        <v>0</v>
      </c>
      <c r="L12" s="12">
        <v>43607</v>
      </c>
      <c r="M12" s="12">
        <v>-10647</v>
      </c>
      <c r="N12" s="12">
        <v>80057</v>
      </c>
      <c r="O12" s="12">
        <v>-104347</v>
      </c>
      <c r="P12" s="12">
        <v>-239068</v>
      </c>
      <c r="Q12" s="12">
        <v>426498</v>
      </c>
      <c r="R12" s="12">
        <v>305430</v>
      </c>
      <c r="S12" s="12">
        <v>547765</v>
      </c>
      <c r="T12" s="12">
        <v>523060</v>
      </c>
      <c r="U12" s="12">
        <v>682106</v>
      </c>
      <c r="V12" s="12">
        <v>959622</v>
      </c>
      <c r="W12" s="12">
        <v>30538</v>
      </c>
      <c r="X12" s="12">
        <v>67184</v>
      </c>
      <c r="Y12" s="12">
        <v>90192</v>
      </c>
      <c r="Z12" s="12">
        <v>167199</v>
      </c>
      <c r="AA12" s="12">
        <v>239496</v>
      </c>
      <c r="AB12" s="12">
        <v>99268</v>
      </c>
      <c r="AC12" s="1">
        <v>429678</v>
      </c>
    </row>
    <row r="13" spans="1:29" x14ac:dyDescent="0.35">
      <c r="A13" s="1" t="s">
        <v>125</v>
      </c>
      <c r="B13" s="1" t="s">
        <v>126</v>
      </c>
      <c r="C13" s="1" t="s">
        <v>66</v>
      </c>
      <c r="D13" s="1" t="s">
        <v>204</v>
      </c>
      <c r="E13" s="10">
        <v>25829</v>
      </c>
      <c r="F13" s="12">
        <v>59106</v>
      </c>
      <c r="G13" s="12">
        <v>59334</v>
      </c>
      <c r="H13" s="10" t="s">
        <v>85</v>
      </c>
      <c r="I13" s="10" t="s">
        <v>85</v>
      </c>
      <c r="J13" s="12">
        <v>62760</v>
      </c>
      <c r="K13" s="12">
        <v>62784</v>
      </c>
      <c r="L13" s="12">
        <v>88365</v>
      </c>
      <c r="M13" s="12">
        <v>154135</v>
      </c>
      <c r="N13" s="12">
        <v>155566</v>
      </c>
      <c r="O13" s="12">
        <v>49918</v>
      </c>
      <c r="P13" s="12">
        <v>88796</v>
      </c>
      <c r="Q13" s="12">
        <v>107915</v>
      </c>
      <c r="R13" s="12">
        <v>92746</v>
      </c>
      <c r="S13" s="12">
        <v>105097</v>
      </c>
      <c r="T13" s="12">
        <v>116393</v>
      </c>
      <c r="U13" s="12">
        <v>197650</v>
      </c>
      <c r="V13" s="12">
        <v>1629458</v>
      </c>
      <c r="W13" s="12">
        <v>3402483</v>
      </c>
      <c r="X13" s="12">
        <v>3920613</v>
      </c>
      <c r="Y13" s="12">
        <v>4146150</v>
      </c>
      <c r="Z13" s="12">
        <v>4284946</v>
      </c>
      <c r="AA13" s="12">
        <v>4432634</v>
      </c>
      <c r="AB13" s="12">
        <v>4633052</v>
      </c>
      <c r="AC13" s="1">
        <v>4900630</v>
      </c>
    </row>
    <row r="14" spans="1:29" x14ac:dyDescent="0.35">
      <c r="A14" s="1" t="s">
        <v>125</v>
      </c>
      <c r="B14" s="1" t="s">
        <v>126</v>
      </c>
      <c r="C14" s="1" t="s">
        <v>66</v>
      </c>
      <c r="D14" s="1" t="s">
        <v>354</v>
      </c>
      <c r="E14" s="10"/>
      <c r="F14" s="12"/>
      <c r="G14" s="12"/>
      <c r="H14" s="10"/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>
        <v>69340</v>
      </c>
      <c r="X14" s="12">
        <v>745080</v>
      </c>
      <c r="Y14" s="12">
        <v>1053959</v>
      </c>
      <c r="Z14" s="12">
        <v>1022880</v>
      </c>
      <c r="AA14" s="12">
        <v>1048160</v>
      </c>
      <c r="AB14" s="12">
        <v>1210163</v>
      </c>
      <c r="AC14" s="1">
        <v>1312715</v>
      </c>
    </row>
    <row r="15" spans="1:29" x14ac:dyDescent="0.35">
      <c r="A15" s="1" t="s">
        <v>125</v>
      </c>
      <c r="B15" s="1" t="s">
        <v>126</v>
      </c>
      <c r="C15" s="1" t="s">
        <v>66</v>
      </c>
      <c r="D15" s="1" t="s">
        <v>229</v>
      </c>
      <c r="E15" s="10">
        <v>0</v>
      </c>
      <c r="F15" s="12">
        <v>53557</v>
      </c>
      <c r="G15" s="12">
        <v>23618</v>
      </c>
      <c r="H15" s="10" t="s">
        <v>85</v>
      </c>
      <c r="I15" s="10" t="s">
        <v>85</v>
      </c>
      <c r="J15" s="12">
        <v>24912</v>
      </c>
      <c r="K15" s="12">
        <v>271352</v>
      </c>
      <c r="L15" s="12">
        <v>344168</v>
      </c>
      <c r="M15" s="12">
        <v>352051</v>
      </c>
      <c r="N15" s="12">
        <v>353666</v>
      </c>
      <c r="O15" s="12">
        <v>345660</v>
      </c>
      <c r="P15" s="12">
        <v>63166</v>
      </c>
      <c r="Q15" s="12">
        <v>0</v>
      </c>
      <c r="R15" s="12" t="s">
        <v>85</v>
      </c>
      <c r="S15" s="12" t="s">
        <v>85</v>
      </c>
      <c r="T15" s="12" t="s">
        <v>85</v>
      </c>
      <c r="U15" s="12" t="s">
        <v>85</v>
      </c>
      <c r="V15" s="12" t="s">
        <v>85</v>
      </c>
      <c r="W15" s="12" t="s">
        <v>85</v>
      </c>
      <c r="X15" s="12" t="s">
        <v>85</v>
      </c>
      <c r="Y15" s="12" t="s">
        <v>85</v>
      </c>
      <c r="Z15" s="12" t="s">
        <v>85</v>
      </c>
      <c r="AA15" s="12" t="s">
        <v>85</v>
      </c>
      <c r="AB15" s="12" t="s">
        <v>85</v>
      </c>
      <c r="AC15" s="1" t="s">
        <v>85</v>
      </c>
    </row>
    <row r="16" spans="1:29" x14ac:dyDescent="0.35">
      <c r="A16" s="1" t="s">
        <v>125</v>
      </c>
      <c r="B16" s="1" t="s">
        <v>126</v>
      </c>
      <c r="C16" s="1" t="s">
        <v>66</v>
      </c>
      <c r="D16" s="1" t="s">
        <v>196</v>
      </c>
      <c r="E16" s="10">
        <v>187237</v>
      </c>
      <c r="F16" s="10">
        <v>22442</v>
      </c>
      <c r="G16" s="10">
        <v>949</v>
      </c>
      <c r="H16" s="10" t="s">
        <v>85</v>
      </c>
      <c r="I16" s="10" t="s">
        <v>85</v>
      </c>
      <c r="J16" s="10">
        <v>52359</v>
      </c>
      <c r="K16" s="10">
        <v>68980</v>
      </c>
      <c r="L16" s="10">
        <v>396452</v>
      </c>
      <c r="M16" s="10">
        <v>53920</v>
      </c>
      <c r="N16" s="10">
        <v>98772</v>
      </c>
      <c r="O16" s="10">
        <v>0</v>
      </c>
      <c r="P16" s="10">
        <v>10424</v>
      </c>
      <c r="Q16" s="10">
        <v>34428</v>
      </c>
      <c r="R16" s="10">
        <v>500</v>
      </c>
      <c r="S16" s="10">
        <v>260161</v>
      </c>
      <c r="T16" s="12">
        <v>86346</v>
      </c>
      <c r="U16" s="12">
        <v>49801</v>
      </c>
      <c r="V16" s="12">
        <v>33714</v>
      </c>
      <c r="W16" s="12">
        <v>236419</v>
      </c>
      <c r="X16" s="12">
        <v>696325</v>
      </c>
      <c r="Y16" s="12">
        <v>698497</v>
      </c>
      <c r="Z16" s="12">
        <v>579027</v>
      </c>
      <c r="AA16" s="12">
        <v>658044</v>
      </c>
      <c r="AB16" s="12">
        <v>845745</v>
      </c>
      <c r="AC16" s="1">
        <v>917080</v>
      </c>
    </row>
    <row r="17" spans="1:29" x14ac:dyDescent="0.35">
      <c r="A17" s="1" t="s">
        <v>125</v>
      </c>
      <c r="B17" s="1" t="s">
        <v>126</v>
      </c>
      <c r="C17" s="1" t="s">
        <v>66</v>
      </c>
      <c r="D17" s="1" t="s">
        <v>197</v>
      </c>
      <c r="E17" s="10">
        <v>45932</v>
      </c>
      <c r="F17" s="12">
        <v>11153</v>
      </c>
      <c r="G17" s="12">
        <v>116269</v>
      </c>
      <c r="H17" s="10" t="s">
        <v>85</v>
      </c>
      <c r="I17" s="10" t="s">
        <v>85</v>
      </c>
      <c r="J17" s="12">
        <v>131506</v>
      </c>
      <c r="K17" s="12">
        <v>78226</v>
      </c>
      <c r="L17" s="12">
        <v>193741</v>
      </c>
      <c r="M17" s="12">
        <v>129756</v>
      </c>
      <c r="N17" s="12">
        <v>284616</v>
      </c>
      <c r="O17" s="12">
        <v>124896</v>
      </c>
      <c r="P17" s="12">
        <v>268382</v>
      </c>
      <c r="Q17" s="12">
        <v>111636</v>
      </c>
      <c r="R17" s="12">
        <v>71226</v>
      </c>
      <c r="S17" s="12">
        <v>79926</v>
      </c>
      <c r="T17" s="12">
        <v>96930</v>
      </c>
      <c r="U17" s="12">
        <v>38974</v>
      </c>
      <c r="V17" s="12">
        <v>92888</v>
      </c>
      <c r="W17" s="12">
        <v>67930</v>
      </c>
      <c r="X17" s="12">
        <v>66780</v>
      </c>
      <c r="Y17" s="12">
        <v>141277</v>
      </c>
      <c r="Z17" s="12">
        <v>66906</v>
      </c>
      <c r="AA17" s="12">
        <v>48347</v>
      </c>
      <c r="AB17" s="12">
        <v>156804</v>
      </c>
      <c r="AC17" s="1">
        <v>183039</v>
      </c>
    </row>
    <row r="18" spans="1:29" x14ac:dyDescent="0.35">
      <c r="A18" s="1" t="s">
        <v>125</v>
      </c>
      <c r="B18" s="1" t="s">
        <v>126</v>
      </c>
      <c r="C18" s="1" t="s">
        <v>66</v>
      </c>
      <c r="D18" s="1" t="s">
        <v>198</v>
      </c>
      <c r="E18" s="10">
        <v>0</v>
      </c>
      <c r="F18" s="12">
        <v>46341</v>
      </c>
      <c r="G18" s="12">
        <v>15316</v>
      </c>
      <c r="H18" s="10" t="s">
        <v>85</v>
      </c>
      <c r="I18" s="10" t="s">
        <v>85</v>
      </c>
      <c r="J18" s="12">
        <v>24089</v>
      </c>
      <c r="K18" s="12">
        <v>14790</v>
      </c>
      <c r="L18" s="12">
        <v>29109</v>
      </c>
      <c r="M18" s="12">
        <v>22520</v>
      </c>
      <c r="N18" s="12">
        <v>27464</v>
      </c>
      <c r="O18" s="12">
        <v>30466</v>
      </c>
      <c r="P18" s="12">
        <v>51274</v>
      </c>
      <c r="Q18" s="12">
        <v>48647</v>
      </c>
      <c r="R18" s="12">
        <v>68604</v>
      </c>
      <c r="S18" s="12">
        <v>95147</v>
      </c>
      <c r="T18" s="12">
        <v>47018</v>
      </c>
      <c r="U18" s="12">
        <v>99231</v>
      </c>
      <c r="V18" s="12">
        <v>536869</v>
      </c>
      <c r="W18" s="12">
        <v>783391</v>
      </c>
      <c r="X18" s="12">
        <v>109819</v>
      </c>
      <c r="Y18" s="12">
        <v>138244</v>
      </c>
      <c r="Z18" s="12">
        <v>140636</v>
      </c>
      <c r="AA18" s="12">
        <v>151568</v>
      </c>
      <c r="AB18" s="12">
        <v>146091</v>
      </c>
      <c r="AC18" s="1">
        <v>317726</v>
      </c>
    </row>
    <row r="19" spans="1:29" x14ac:dyDescent="0.35">
      <c r="A19" s="1" t="s">
        <v>125</v>
      </c>
      <c r="B19" s="1" t="s">
        <v>126</v>
      </c>
      <c r="C19" s="1" t="s">
        <v>66</v>
      </c>
      <c r="D19" s="1" t="s">
        <v>321</v>
      </c>
      <c r="E19" s="10">
        <v>0</v>
      </c>
      <c r="F19" s="12">
        <v>12346</v>
      </c>
      <c r="G19" s="12">
        <v>90295</v>
      </c>
      <c r="H19" s="10" t="s">
        <v>85</v>
      </c>
      <c r="I19" s="10" t="s">
        <v>85</v>
      </c>
      <c r="J19" s="12">
        <v>19831</v>
      </c>
      <c r="K19" s="12">
        <v>90295</v>
      </c>
      <c r="L19" s="12">
        <v>9816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 t="s">
        <v>85</v>
      </c>
      <c r="S19" s="12">
        <v>0</v>
      </c>
      <c r="T19" s="12">
        <v>0</v>
      </c>
      <c r="U19" s="12">
        <v>163207</v>
      </c>
      <c r="V19" s="12">
        <v>136809</v>
      </c>
      <c r="W19" s="12">
        <v>1725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">
        <v>0</v>
      </c>
    </row>
    <row r="20" spans="1:29" x14ac:dyDescent="0.35">
      <c r="A20" s="1" t="s">
        <v>125</v>
      </c>
      <c r="B20" s="1" t="s">
        <v>126</v>
      </c>
      <c r="C20" s="1" t="s">
        <v>66</v>
      </c>
      <c r="D20" s="1" t="s">
        <v>340</v>
      </c>
      <c r="E20" s="10" t="s">
        <v>85</v>
      </c>
      <c r="F20" s="10" t="s">
        <v>85</v>
      </c>
      <c r="G20" s="10" t="s">
        <v>85</v>
      </c>
      <c r="H20" s="10" t="s">
        <v>85</v>
      </c>
      <c r="I20" s="10" t="s">
        <v>85</v>
      </c>
      <c r="J20" s="10" t="s">
        <v>85</v>
      </c>
      <c r="K20" s="10" t="s">
        <v>85</v>
      </c>
      <c r="L20" s="10" t="s">
        <v>85</v>
      </c>
      <c r="M20" s="10" t="s">
        <v>85</v>
      </c>
      <c r="N20" s="10" t="s">
        <v>85</v>
      </c>
      <c r="O20" s="10" t="s">
        <v>85</v>
      </c>
      <c r="P20" s="10" t="s">
        <v>85</v>
      </c>
      <c r="Q20" s="10" t="s">
        <v>85</v>
      </c>
      <c r="R20" s="10" t="s">
        <v>85</v>
      </c>
      <c r="S20" s="10" t="s">
        <v>85</v>
      </c>
      <c r="T20" s="12">
        <v>4385</v>
      </c>
      <c r="U20" s="12">
        <v>8383</v>
      </c>
      <c r="V20" s="12">
        <v>17773</v>
      </c>
      <c r="W20" s="12">
        <v>505948</v>
      </c>
      <c r="X20" s="12">
        <v>1551300</v>
      </c>
      <c r="Y20" s="12">
        <v>1911527</v>
      </c>
      <c r="Z20" s="12">
        <v>395338</v>
      </c>
      <c r="AA20" s="12">
        <v>418509</v>
      </c>
      <c r="AB20" s="12">
        <v>400447</v>
      </c>
      <c r="AC20" s="1">
        <v>429308</v>
      </c>
    </row>
    <row r="21" spans="1:29" x14ac:dyDescent="0.35">
      <c r="A21" s="1" t="s">
        <v>125</v>
      </c>
      <c r="B21" s="1" t="s">
        <v>126</v>
      </c>
      <c r="C21" s="1" t="s">
        <v>66</v>
      </c>
      <c r="D21" s="1" t="s">
        <v>306</v>
      </c>
      <c r="E21" s="10" t="s">
        <v>85</v>
      </c>
      <c r="F21" s="10" t="s">
        <v>85</v>
      </c>
      <c r="G21" s="10" t="s">
        <v>85</v>
      </c>
      <c r="H21" s="10" t="s">
        <v>85</v>
      </c>
      <c r="I21" s="10" t="s">
        <v>85</v>
      </c>
      <c r="J21" s="10" t="s">
        <v>85</v>
      </c>
      <c r="K21" s="10" t="s">
        <v>85</v>
      </c>
      <c r="L21" s="10" t="s">
        <v>85</v>
      </c>
      <c r="M21" s="10" t="s">
        <v>85</v>
      </c>
      <c r="N21" s="10" t="s">
        <v>85</v>
      </c>
      <c r="O21" s="10" t="s">
        <v>85</v>
      </c>
      <c r="P21" s="10" t="s">
        <v>85</v>
      </c>
      <c r="Q21" s="12">
        <v>21297</v>
      </c>
      <c r="R21" s="12">
        <v>118336</v>
      </c>
      <c r="S21" s="12">
        <v>117085</v>
      </c>
      <c r="T21" s="12">
        <v>123628</v>
      </c>
      <c r="U21" s="12">
        <v>136990</v>
      </c>
      <c r="V21" s="12">
        <v>183813</v>
      </c>
      <c r="W21" s="12">
        <v>848176</v>
      </c>
      <c r="X21" s="12">
        <v>1202805</v>
      </c>
      <c r="Y21" s="12">
        <v>1439900</v>
      </c>
      <c r="Z21" s="12">
        <v>1482298</v>
      </c>
      <c r="AA21" s="12">
        <v>1089676</v>
      </c>
      <c r="AB21" s="12">
        <v>849520</v>
      </c>
      <c r="AC21" s="1">
        <v>967302</v>
      </c>
    </row>
    <row r="22" spans="1:29" x14ac:dyDescent="0.35">
      <c r="A22" s="1" t="s">
        <v>125</v>
      </c>
      <c r="B22" s="1" t="s">
        <v>126</v>
      </c>
      <c r="C22" s="1" t="s">
        <v>66</v>
      </c>
      <c r="D22" s="1" t="s">
        <v>305</v>
      </c>
      <c r="E22" s="10" t="s">
        <v>85</v>
      </c>
      <c r="F22" s="10" t="s">
        <v>85</v>
      </c>
      <c r="G22" s="10" t="s">
        <v>85</v>
      </c>
      <c r="H22" s="10" t="s">
        <v>85</v>
      </c>
      <c r="I22" s="10" t="s">
        <v>85</v>
      </c>
      <c r="J22" s="10" t="s">
        <v>85</v>
      </c>
      <c r="K22" s="10" t="s">
        <v>85</v>
      </c>
      <c r="L22" s="10" t="s">
        <v>85</v>
      </c>
      <c r="M22" s="10" t="s">
        <v>85</v>
      </c>
      <c r="N22" s="10" t="s">
        <v>85</v>
      </c>
      <c r="O22" s="10" t="s">
        <v>85</v>
      </c>
      <c r="P22" s="10" t="s">
        <v>85</v>
      </c>
      <c r="Q22" s="12">
        <v>409892</v>
      </c>
      <c r="R22" s="12">
        <v>430386</v>
      </c>
      <c r="S22" s="12">
        <v>451906</v>
      </c>
      <c r="T22" s="12">
        <v>474501</v>
      </c>
      <c r="U22" s="12">
        <v>498226</v>
      </c>
      <c r="V22" s="12">
        <v>523137</v>
      </c>
      <c r="W22" s="12">
        <v>538294</v>
      </c>
      <c r="X22" s="12">
        <v>539483</v>
      </c>
      <c r="Y22" s="12">
        <v>539483</v>
      </c>
      <c r="Z22" s="12">
        <v>539483</v>
      </c>
      <c r="AA22" s="12">
        <v>539483</v>
      </c>
      <c r="AB22" s="12">
        <v>0</v>
      </c>
      <c r="AC22" s="1">
        <v>0</v>
      </c>
    </row>
    <row r="23" spans="1:29" x14ac:dyDescent="0.35">
      <c r="A23" s="1" t="s">
        <v>125</v>
      </c>
      <c r="B23" s="1" t="s">
        <v>126</v>
      </c>
      <c r="C23" s="1" t="s">
        <v>66</v>
      </c>
      <c r="D23" s="1" t="s">
        <v>64</v>
      </c>
      <c r="E23" s="10">
        <v>0</v>
      </c>
      <c r="F23" s="12">
        <f>11550+6593</f>
        <v>18143</v>
      </c>
      <c r="G23" s="12">
        <v>11450</v>
      </c>
      <c r="H23" s="10" t="s">
        <v>85</v>
      </c>
      <c r="I23" s="10" t="s">
        <v>85</v>
      </c>
      <c r="J23" s="12">
        <f>10534452-SUM(J10:J19)</f>
        <v>267963</v>
      </c>
      <c r="K23" s="12">
        <f>10902736-SUM(K10:K19)</f>
        <v>219465</v>
      </c>
      <c r="L23" s="12">
        <f>12131924-SUM(L10:L19)</f>
        <v>529679</v>
      </c>
      <c r="M23" s="12">
        <f>12035750-SUM(M10:M19)</f>
        <v>424935</v>
      </c>
      <c r="N23" s="12">
        <f>12669241-SUM(N10:N19)</f>
        <v>808598</v>
      </c>
      <c r="O23" s="12">
        <f>13004517-SUM(O10:O19)</f>
        <v>972500</v>
      </c>
      <c r="P23" s="12">
        <f>13165388-SUM(P10:P19)</f>
        <v>1062679</v>
      </c>
      <c r="Q23" s="12">
        <f>13962691-SUM(Q10:Q22)</f>
        <v>907310</v>
      </c>
      <c r="R23" s="12">
        <f>15011644-SUM(R10:R22)</f>
        <v>1023066</v>
      </c>
      <c r="S23" s="12">
        <f>15370543-SUM(S10:S22)</f>
        <v>351843</v>
      </c>
      <c r="T23" s="12">
        <f>16017650-SUM(T10:T22)</f>
        <v>388852</v>
      </c>
      <c r="U23" s="12">
        <f>19238784-SUM(U10:U22)</f>
        <v>455848</v>
      </c>
      <c r="V23" s="12">
        <f>21495389-SUM(V10:V22)</f>
        <v>337028</v>
      </c>
      <c r="W23" s="12">
        <f>20565464-SUM(W10:W22)</f>
        <v>544060</v>
      </c>
      <c r="X23" s="12">
        <f>19123652-SUM(X10:X22)</f>
        <v>1360440</v>
      </c>
      <c r="Y23" s="12">
        <f>23726069-SUM(Y10:Y22)-Y29</f>
        <v>1918611</v>
      </c>
      <c r="Z23" s="12">
        <f>25942104-SUM(Z10:Z22)-Z29</f>
        <v>2477616</v>
      </c>
      <c r="AA23" s="12">
        <f>25311814-SUM(AA10:AA22)-AA29</f>
        <v>3974714</v>
      </c>
      <c r="AB23" s="12">
        <f>25302622-SUM(AB10:AB22)-AB29</f>
        <v>1829725</v>
      </c>
      <c r="AC23" s="12">
        <f>27592028-SUM(AC10:AC22)-AC29</f>
        <v>2360032</v>
      </c>
    </row>
    <row r="24" spans="1:29" x14ac:dyDescent="0.35">
      <c r="A24" s="1" t="s">
        <v>125</v>
      </c>
      <c r="B24" s="1" t="s">
        <v>126</v>
      </c>
      <c r="C24" s="7" t="s">
        <v>66</v>
      </c>
      <c r="D24" s="7" t="s">
        <v>67</v>
      </c>
      <c r="E24" s="14">
        <f>SUM(E10:E23)</f>
        <v>6012035</v>
      </c>
      <c r="F24" s="14">
        <f>SUM(F10:F23)</f>
        <v>9140084</v>
      </c>
      <c r="G24" s="11">
        <v>9954162</v>
      </c>
      <c r="H24" s="10" t="s">
        <v>85</v>
      </c>
      <c r="I24" s="10" t="s">
        <v>85</v>
      </c>
      <c r="J24" s="14">
        <f t="shared" ref="J24:X24" si="1">SUM(J10:J23)</f>
        <v>10534452</v>
      </c>
      <c r="K24" s="14">
        <f t="shared" si="1"/>
        <v>10902736</v>
      </c>
      <c r="L24" s="14">
        <f t="shared" si="1"/>
        <v>12131924</v>
      </c>
      <c r="M24" s="14">
        <f t="shared" si="1"/>
        <v>12035750</v>
      </c>
      <c r="N24" s="14">
        <f t="shared" si="1"/>
        <v>12669241</v>
      </c>
      <c r="O24" s="14">
        <f t="shared" si="1"/>
        <v>13004517</v>
      </c>
      <c r="P24" s="14">
        <f t="shared" si="1"/>
        <v>13165388</v>
      </c>
      <c r="Q24" s="14">
        <f t="shared" si="1"/>
        <v>13962691</v>
      </c>
      <c r="R24" s="14">
        <f t="shared" si="1"/>
        <v>15011644</v>
      </c>
      <c r="S24" s="14">
        <f t="shared" si="1"/>
        <v>15370543</v>
      </c>
      <c r="T24" s="14">
        <f t="shared" si="1"/>
        <v>16017650</v>
      </c>
      <c r="U24" s="14">
        <f t="shared" si="1"/>
        <v>19238784</v>
      </c>
      <c r="V24" s="14">
        <f t="shared" si="1"/>
        <v>21495389</v>
      </c>
      <c r="W24" s="14">
        <f t="shared" si="1"/>
        <v>20565464</v>
      </c>
      <c r="X24" s="14">
        <f t="shared" si="1"/>
        <v>19123652</v>
      </c>
      <c r="Y24" s="14">
        <f>SUM(Y10:Y23)+Y29</f>
        <v>23726069</v>
      </c>
      <c r="Z24" s="14">
        <f>SUM(Z10:Z23)+Z29</f>
        <v>25942104</v>
      </c>
      <c r="AA24" s="14">
        <f>SUM(AA10:AA23)+AA29</f>
        <v>25311814</v>
      </c>
      <c r="AB24" s="14">
        <f>SUM(AB10:AB23)+AB29</f>
        <v>25302622</v>
      </c>
      <c r="AC24" s="14">
        <f>SUM(AC10:AC23)+AC29</f>
        <v>27592028</v>
      </c>
    </row>
    <row r="25" spans="1:29" x14ac:dyDescent="0.35">
      <c r="A25" s="1" t="s">
        <v>125</v>
      </c>
      <c r="B25" s="1" t="s">
        <v>126</v>
      </c>
      <c r="C25" s="7" t="s">
        <v>68</v>
      </c>
      <c r="D25" s="7" t="s">
        <v>69</v>
      </c>
      <c r="E25" s="15">
        <f>E9-E24</f>
        <v>-165701</v>
      </c>
      <c r="F25" s="15">
        <f>F9-F24</f>
        <v>778457</v>
      </c>
      <c r="G25" s="15">
        <f>G9-G24</f>
        <v>-87000</v>
      </c>
      <c r="H25" s="10" t="s">
        <v>85</v>
      </c>
      <c r="I25" s="10" t="s">
        <v>85</v>
      </c>
      <c r="J25" s="15">
        <f t="shared" ref="J25:AC25" si="2">J9-J24</f>
        <v>-385566</v>
      </c>
      <c r="K25" s="15">
        <f t="shared" si="2"/>
        <v>549852</v>
      </c>
      <c r="L25" s="15">
        <f t="shared" si="2"/>
        <v>-349726</v>
      </c>
      <c r="M25" s="15">
        <f t="shared" si="2"/>
        <v>-250891</v>
      </c>
      <c r="N25" s="15">
        <f t="shared" si="2"/>
        <v>-657320</v>
      </c>
      <c r="O25" s="15">
        <f t="shared" si="2"/>
        <v>-598711</v>
      </c>
      <c r="P25" s="15">
        <f t="shared" si="2"/>
        <v>-899736</v>
      </c>
      <c r="Q25" s="15">
        <f t="shared" si="2"/>
        <v>717070</v>
      </c>
      <c r="R25" s="15">
        <f t="shared" si="2"/>
        <v>2814561</v>
      </c>
      <c r="S25" s="15">
        <f t="shared" si="2"/>
        <v>2136648</v>
      </c>
      <c r="T25" s="15">
        <f t="shared" si="2"/>
        <v>3097041</v>
      </c>
      <c r="U25" s="15">
        <f t="shared" si="2"/>
        <v>1750991</v>
      </c>
      <c r="V25" s="15">
        <f t="shared" si="2"/>
        <v>2171985</v>
      </c>
      <c r="W25" s="15">
        <f t="shared" si="2"/>
        <v>3632349</v>
      </c>
      <c r="X25" s="15">
        <f t="shared" si="2"/>
        <v>7643016</v>
      </c>
      <c r="Y25" s="15">
        <f t="shared" si="2"/>
        <v>2673073</v>
      </c>
      <c r="Z25" s="15">
        <f t="shared" si="2"/>
        <v>1743646</v>
      </c>
      <c r="AA25" s="15">
        <f t="shared" si="2"/>
        <v>5606574</v>
      </c>
      <c r="AB25" s="15">
        <f t="shared" si="2"/>
        <v>5593873</v>
      </c>
      <c r="AC25" s="15">
        <f t="shared" si="2"/>
        <v>2993803</v>
      </c>
    </row>
    <row r="26" spans="1:29" s="18" customFormat="1" x14ac:dyDescent="0.35">
      <c r="A26" s="1" t="s">
        <v>125</v>
      </c>
      <c r="B26" s="1" t="s">
        <v>126</v>
      </c>
      <c r="C26" s="18" t="s">
        <v>115</v>
      </c>
      <c r="D26" s="18" t="s">
        <v>116</v>
      </c>
      <c r="E26" s="10" t="s">
        <v>85</v>
      </c>
      <c r="F26" s="10" t="s">
        <v>85</v>
      </c>
      <c r="G26" s="10" t="s">
        <v>85</v>
      </c>
      <c r="H26" s="10" t="s">
        <v>85</v>
      </c>
      <c r="I26" s="10" t="s">
        <v>85</v>
      </c>
      <c r="J26" s="10" t="s">
        <v>85</v>
      </c>
      <c r="K26" s="10" t="s">
        <v>85</v>
      </c>
      <c r="L26" s="10" t="s">
        <v>85</v>
      </c>
      <c r="M26" s="10" t="s">
        <v>85</v>
      </c>
      <c r="N26" s="10" t="s">
        <v>85</v>
      </c>
      <c r="O26" s="10" t="s">
        <v>85</v>
      </c>
      <c r="P26" s="10" t="s">
        <v>85</v>
      </c>
      <c r="Q26" s="10" t="s">
        <v>85</v>
      </c>
      <c r="R26" s="10" t="s">
        <v>85</v>
      </c>
      <c r="S26" s="10" t="s">
        <v>85</v>
      </c>
      <c r="T26" s="10" t="s">
        <v>85</v>
      </c>
      <c r="U26" s="10" t="s">
        <v>85</v>
      </c>
      <c r="V26" s="10" t="s">
        <v>85</v>
      </c>
      <c r="W26" s="10" t="s">
        <v>85</v>
      </c>
      <c r="X26" s="10" t="s">
        <v>85</v>
      </c>
      <c r="Y26" s="10" t="s">
        <v>85</v>
      </c>
      <c r="Z26" s="10" t="s">
        <v>85</v>
      </c>
      <c r="AA26" s="10" t="s">
        <v>85</v>
      </c>
      <c r="AB26" s="10" t="s">
        <v>85</v>
      </c>
      <c r="AC26" s="10" t="s">
        <v>85</v>
      </c>
    </row>
    <row r="27" spans="1:29" s="18" customFormat="1" x14ac:dyDescent="0.35">
      <c r="A27" s="1" t="s">
        <v>125</v>
      </c>
      <c r="B27" s="1" t="s">
        <v>126</v>
      </c>
      <c r="C27" s="18" t="s">
        <v>115</v>
      </c>
      <c r="D27" s="18" t="s">
        <v>117</v>
      </c>
      <c r="E27" s="10" t="s">
        <v>85</v>
      </c>
      <c r="F27" s="10" t="s">
        <v>85</v>
      </c>
      <c r="G27" s="10" t="s">
        <v>85</v>
      </c>
      <c r="H27" s="10" t="s">
        <v>85</v>
      </c>
      <c r="I27" s="10" t="s">
        <v>85</v>
      </c>
      <c r="J27" s="10" t="s">
        <v>85</v>
      </c>
      <c r="K27" s="10" t="s">
        <v>85</v>
      </c>
      <c r="L27" s="10" t="s">
        <v>85</v>
      </c>
      <c r="M27" s="10" t="s">
        <v>85</v>
      </c>
      <c r="N27" s="10" t="s">
        <v>85</v>
      </c>
      <c r="O27" s="10" t="s">
        <v>85</v>
      </c>
      <c r="P27" s="10" t="s">
        <v>85</v>
      </c>
      <c r="Q27" s="10" t="s">
        <v>85</v>
      </c>
      <c r="R27" s="10" t="s">
        <v>85</v>
      </c>
      <c r="S27" s="10" t="s">
        <v>85</v>
      </c>
      <c r="T27" s="10" t="s">
        <v>85</v>
      </c>
      <c r="U27" s="10" t="s">
        <v>85</v>
      </c>
      <c r="V27" s="10" t="s">
        <v>85</v>
      </c>
      <c r="W27" s="10" t="s">
        <v>85</v>
      </c>
      <c r="X27" s="10" t="s">
        <v>85</v>
      </c>
      <c r="Y27" s="10" t="s">
        <v>85</v>
      </c>
      <c r="Z27" s="10" t="s">
        <v>85</v>
      </c>
      <c r="AA27" s="10" t="s">
        <v>85</v>
      </c>
      <c r="AB27" s="10" t="s">
        <v>85</v>
      </c>
      <c r="AC27" s="10" t="s">
        <v>85</v>
      </c>
    </row>
    <row r="28" spans="1:29" s="18" customFormat="1" x14ac:dyDescent="0.35">
      <c r="A28" s="1" t="s">
        <v>125</v>
      </c>
      <c r="B28" s="1" t="s">
        <v>126</v>
      </c>
      <c r="C28" s="18" t="s">
        <v>115</v>
      </c>
      <c r="D28" s="18" t="s">
        <v>120</v>
      </c>
      <c r="E28" s="10" t="s">
        <v>85</v>
      </c>
      <c r="F28" s="10" t="s">
        <v>85</v>
      </c>
      <c r="G28" s="10" t="s">
        <v>85</v>
      </c>
      <c r="H28" s="10" t="s">
        <v>85</v>
      </c>
      <c r="I28" s="10" t="s">
        <v>85</v>
      </c>
      <c r="J28" s="10">
        <v>6300</v>
      </c>
      <c r="K28" s="10">
        <v>6316</v>
      </c>
      <c r="L28" s="10">
        <v>6316</v>
      </c>
      <c r="M28" s="16">
        <v>8589</v>
      </c>
      <c r="N28" s="16">
        <v>29717</v>
      </c>
      <c r="O28" s="16">
        <v>29717</v>
      </c>
      <c r="P28" s="16">
        <v>29717</v>
      </c>
      <c r="Q28" s="16">
        <v>29717</v>
      </c>
      <c r="R28" s="16">
        <v>44163</v>
      </c>
      <c r="S28" s="16">
        <v>64387</v>
      </c>
      <c r="T28" s="16">
        <v>64387</v>
      </c>
      <c r="U28" s="16">
        <v>64387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</row>
    <row r="29" spans="1:29" x14ac:dyDescent="0.35">
      <c r="A29" s="1" t="s">
        <v>125</v>
      </c>
      <c r="B29" s="1" t="s">
        <v>126</v>
      </c>
      <c r="C29" s="7" t="s">
        <v>115</v>
      </c>
      <c r="D29" s="7" t="s">
        <v>118</v>
      </c>
      <c r="E29" s="15">
        <f t="shared" ref="E29:G29" si="3">SUM(E26:E28)</f>
        <v>0</v>
      </c>
      <c r="F29" s="15">
        <f t="shared" si="3"/>
        <v>0</v>
      </c>
      <c r="G29" s="15">
        <f t="shared" si="3"/>
        <v>0</v>
      </c>
      <c r="H29" s="10" t="s">
        <v>85</v>
      </c>
      <c r="I29" s="10" t="s">
        <v>85</v>
      </c>
      <c r="J29" s="15">
        <v>139890</v>
      </c>
      <c r="K29" s="15">
        <v>228393</v>
      </c>
      <c r="L29" s="15">
        <v>291053</v>
      </c>
      <c r="M29" s="15">
        <v>327560</v>
      </c>
      <c r="N29" s="15">
        <v>383056</v>
      </c>
      <c r="O29" s="15">
        <v>382673</v>
      </c>
      <c r="P29" s="15">
        <v>472796</v>
      </c>
      <c r="Q29" s="15">
        <v>586344</v>
      </c>
      <c r="R29" s="15">
        <v>625085</v>
      </c>
      <c r="S29" s="15">
        <v>671116</v>
      </c>
      <c r="T29" s="15">
        <v>905362</v>
      </c>
      <c r="U29" s="15">
        <v>1080440</v>
      </c>
      <c r="V29" s="15">
        <v>1271273</v>
      </c>
      <c r="W29" s="15">
        <v>1647255</v>
      </c>
      <c r="X29" s="15">
        <v>1822688</v>
      </c>
      <c r="Y29" s="15">
        <v>2530279</v>
      </c>
      <c r="Z29" s="15">
        <v>2943233</v>
      </c>
      <c r="AA29" s="15">
        <v>1197002</v>
      </c>
      <c r="AB29" s="15">
        <v>3304835</v>
      </c>
      <c r="AC29" s="15">
        <v>3872439</v>
      </c>
    </row>
    <row r="30" spans="1:29" s="18" customFormat="1" x14ac:dyDescent="0.35">
      <c r="A30" s="1" t="s">
        <v>125</v>
      </c>
      <c r="B30" s="1" t="s">
        <v>126</v>
      </c>
      <c r="C30" s="1" t="s">
        <v>68</v>
      </c>
      <c r="D30" s="18" t="s">
        <v>123</v>
      </c>
      <c r="E30" s="16"/>
      <c r="F30" s="16"/>
      <c r="G30" s="16"/>
      <c r="H30" s="10" t="s">
        <v>85</v>
      </c>
      <c r="I30" s="10" t="s">
        <v>85</v>
      </c>
      <c r="J30" s="16">
        <v>0</v>
      </c>
      <c r="K30" s="16">
        <v>0</v>
      </c>
      <c r="L30" s="16">
        <v>60300</v>
      </c>
      <c r="M30" s="16">
        <v>495963</v>
      </c>
      <c r="N30" s="16">
        <v>140433</v>
      </c>
      <c r="O30" s="16">
        <v>11600</v>
      </c>
      <c r="P30" s="16">
        <v>0</v>
      </c>
      <c r="Q30" s="16">
        <v>126469</v>
      </c>
      <c r="R30" s="16">
        <v>70684</v>
      </c>
      <c r="S30" s="16">
        <v>0</v>
      </c>
      <c r="T30" s="16">
        <v>4273</v>
      </c>
      <c r="U30" s="16">
        <v>101594</v>
      </c>
      <c r="V30" s="16">
        <v>0</v>
      </c>
      <c r="W30" s="16">
        <v>0</v>
      </c>
      <c r="X30" s="16">
        <v>0</v>
      </c>
      <c r="Y30" s="16">
        <v>0</v>
      </c>
      <c r="Z30" s="12" t="s">
        <v>85</v>
      </c>
      <c r="AA30" s="12" t="s">
        <v>85</v>
      </c>
      <c r="AB30" s="12" t="s">
        <v>85</v>
      </c>
      <c r="AC30" s="12" t="s">
        <v>85</v>
      </c>
    </row>
    <row r="31" spans="1:29" s="18" customFormat="1" x14ac:dyDescent="0.35">
      <c r="A31" s="1" t="s">
        <v>125</v>
      </c>
      <c r="B31" s="1" t="s">
        <v>126</v>
      </c>
      <c r="C31" s="1" t="s">
        <v>68</v>
      </c>
      <c r="D31" s="18" t="s">
        <v>200</v>
      </c>
      <c r="E31" s="12">
        <v>0</v>
      </c>
      <c r="F31" s="12">
        <v>180089</v>
      </c>
      <c r="G31" s="12">
        <v>0</v>
      </c>
      <c r="H31" s="10" t="s">
        <v>85</v>
      </c>
      <c r="I31" s="10" t="s">
        <v>85</v>
      </c>
      <c r="J31" s="10" t="s">
        <v>85</v>
      </c>
      <c r="K31" s="10" t="s">
        <v>85</v>
      </c>
      <c r="L31" s="10" t="s">
        <v>85</v>
      </c>
      <c r="M31" s="10" t="s">
        <v>85</v>
      </c>
      <c r="N31" s="10" t="s">
        <v>85</v>
      </c>
      <c r="O31" s="10" t="s">
        <v>85</v>
      </c>
      <c r="P31" s="10" t="s">
        <v>85</v>
      </c>
      <c r="Q31" s="10" t="s">
        <v>85</v>
      </c>
      <c r="R31" s="10" t="s">
        <v>85</v>
      </c>
      <c r="S31" s="10" t="s">
        <v>85</v>
      </c>
      <c r="T31" s="10" t="s">
        <v>85</v>
      </c>
      <c r="U31" s="10" t="s">
        <v>85</v>
      </c>
      <c r="V31" s="10" t="s">
        <v>85</v>
      </c>
      <c r="W31" s="10" t="s">
        <v>85</v>
      </c>
      <c r="X31" s="10" t="s">
        <v>85</v>
      </c>
      <c r="Y31" s="10" t="s">
        <v>85</v>
      </c>
      <c r="Z31" s="12" t="s">
        <v>85</v>
      </c>
      <c r="AA31" s="12" t="s">
        <v>85</v>
      </c>
      <c r="AB31" s="12" t="s">
        <v>85</v>
      </c>
      <c r="AC31" s="12" t="s">
        <v>85</v>
      </c>
    </row>
    <row r="32" spans="1:29" x14ac:dyDescent="0.35">
      <c r="A32" s="1" t="s">
        <v>125</v>
      </c>
      <c r="B32" s="1" t="s">
        <v>126</v>
      </c>
      <c r="C32" s="1" t="s">
        <v>68</v>
      </c>
      <c r="D32" s="1" t="s">
        <v>70</v>
      </c>
      <c r="E32" s="10">
        <v>16601</v>
      </c>
      <c r="F32" s="12">
        <v>52285</v>
      </c>
      <c r="G32" s="12">
        <v>83692</v>
      </c>
      <c r="H32" s="10" t="s">
        <v>85</v>
      </c>
      <c r="I32" s="10" t="s">
        <v>85</v>
      </c>
      <c r="J32" s="12">
        <v>93834</v>
      </c>
      <c r="K32" s="12">
        <v>94807</v>
      </c>
      <c r="L32" s="12">
        <v>75443</v>
      </c>
      <c r="M32" s="12">
        <v>36041</v>
      </c>
      <c r="N32" s="12">
        <v>104659</v>
      </c>
      <c r="O32" s="12">
        <v>102505</v>
      </c>
      <c r="P32" s="12">
        <v>228297</v>
      </c>
      <c r="Q32" s="12">
        <v>316179</v>
      </c>
      <c r="R32" s="12">
        <v>818392</v>
      </c>
      <c r="S32" s="12">
        <v>756337</v>
      </c>
      <c r="T32" s="12">
        <v>221745</v>
      </c>
      <c r="U32" s="12">
        <v>220419</v>
      </c>
      <c r="V32" s="12">
        <v>194323</v>
      </c>
      <c r="W32" s="12">
        <v>231529</v>
      </c>
      <c r="X32" s="12">
        <v>167270</v>
      </c>
      <c r="Y32" s="12">
        <v>200409</v>
      </c>
      <c r="Z32" s="12">
        <v>557075</v>
      </c>
      <c r="AA32" s="12">
        <v>124283</v>
      </c>
      <c r="AB32" s="12">
        <v>292510</v>
      </c>
      <c r="AC32" s="1">
        <v>538325</v>
      </c>
    </row>
    <row r="33" spans="1:29" x14ac:dyDescent="0.35">
      <c r="A33" s="1" t="s">
        <v>125</v>
      </c>
      <c r="B33" s="1" t="s">
        <v>126</v>
      </c>
      <c r="C33" s="1" t="s">
        <v>68</v>
      </c>
      <c r="D33" s="1" t="s">
        <v>114</v>
      </c>
      <c r="E33" s="10">
        <v>0</v>
      </c>
      <c r="F33" s="12">
        <v>-13729</v>
      </c>
      <c r="G33" s="12" t="s">
        <v>119</v>
      </c>
      <c r="H33" s="10" t="s">
        <v>85</v>
      </c>
      <c r="I33" s="10" t="s">
        <v>85</v>
      </c>
      <c r="J33" s="12">
        <v>-162100</v>
      </c>
      <c r="K33" s="12">
        <v>-334514</v>
      </c>
      <c r="L33" s="12">
        <v>-267611</v>
      </c>
      <c r="M33" s="12">
        <v>-261766</v>
      </c>
      <c r="N33" s="12">
        <v>-502037</v>
      </c>
      <c r="O33" s="12">
        <v>-713935</v>
      </c>
      <c r="P33" s="12">
        <v>-574283</v>
      </c>
      <c r="Q33" s="12">
        <v>-755274</v>
      </c>
      <c r="R33" s="12">
        <v>-1384039</v>
      </c>
      <c r="S33" s="12">
        <v>-1957754</v>
      </c>
      <c r="T33" s="12">
        <v>-1973668</v>
      </c>
      <c r="U33" s="12">
        <v>-1994785</v>
      </c>
      <c r="V33" s="12">
        <v>-2096347</v>
      </c>
      <c r="W33" s="12">
        <v>-4520451</v>
      </c>
      <c r="X33" s="12">
        <v>-4510379</v>
      </c>
      <c r="Y33" s="12">
        <v>-4441883</v>
      </c>
      <c r="Z33" s="12">
        <v>-4196513</v>
      </c>
      <c r="AA33" s="12">
        <v>-4069636</v>
      </c>
      <c r="AB33" s="12">
        <v>-3993436</v>
      </c>
      <c r="AC33" s="1">
        <v>-3892901</v>
      </c>
    </row>
    <row r="34" spans="1:29" x14ac:dyDescent="0.35">
      <c r="A34" s="1" t="s">
        <v>125</v>
      </c>
      <c r="B34" s="1" t="s">
        <v>126</v>
      </c>
      <c r="C34" s="1" t="s">
        <v>68</v>
      </c>
      <c r="D34" s="1" t="s">
        <v>199</v>
      </c>
      <c r="E34" s="10">
        <v>-9466</v>
      </c>
      <c r="F34" s="12">
        <v>-626</v>
      </c>
      <c r="G34" s="12">
        <v>-3610</v>
      </c>
      <c r="H34" s="10" t="s">
        <v>85</v>
      </c>
      <c r="I34" s="10" t="s">
        <v>85</v>
      </c>
      <c r="J34" s="12">
        <f>75334-1648</f>
        <v>73686</v>
      </c>
      <c r="K34" s="12">
        <f>109204-3682</f>
        <v>105522</v>
      </c>
      <c r="L34" s="12">
        <v>18020</v>
      </c>
      <c r="M34" s="12">
        <f>109116-595</f>
        <v>108521</v>
      </c>
      <c r="N34" s="12">
        <f>242916-2530</f>
        <v>240386</v>
      </c>
      <c r="O34" s="12">
        <f>388597-6970</f>
        <v>381627</v>
      </c>
      <c r="P34" s="12">
        <f>285423-1327</f>
        <v>284096</v>
      </c>
      <c r="Q34" s="12">
        <f>255293-3268</f>
        <v>252025</v>
      </c>
      <c r="R34" s="12">
        <f>26120-5156</f>
        <v>20964</v>
      </c>
      <c r="S34" s="12">
        <f>5053+421325-24110</f>
        <v>402268</v>
      </c>
      <c r="T34" s="12">
        <f>15607+3682+582057-33017</f>
        <v>568329</v>
      </c>
      <c r="U34" s="12">
        <f>12587+26587-106520-11341</f>
        <v>-78687</v>
      </c>
      <c r="V34" s="12">
        <f>30291+22777+208604-12933-753557-32693</f>
        <v>-537511</v>
      </c>
      <c r="W34" s="12">
        <f>25527+24762+124391-45693-76793+2332339</f>
        <v>2384533</v>
      </c>
      <c r="X34" s="12">
        <f>56744+475329-115925</f>
        <v>416148</v>
      </c>
      <c r="Y34" s="12">
        <f>43188+531367-284399</f>
        <v>290156</v>
      </c>
      <c r="Z34" s="12">
        <f>96533-297960+237408-112421</f>
        <v>-76440</v>
      </c>
      <c r="AA34" s="12">
        <f>525368+50897-144484</f>
        <v>431781</v>
      </c>
      <c r="AB34" s="12">
        <f>1464438-321042</f>
        <v>1143396</v>
      </c>
      <c r="AC34" s="1">
        <f>7324040+62746-289124</f>
        <v>7097662</v>
      </c>
    </row>
    <row r="35" spans="1:29" x14ac:dyDescent="0.35">
      <c r="A35" s="1" t="s">
        <v>125</v>
      </c>
      <c r="B35" s="1" t="s">
        <v>126</v>
      </c>
      <c r="C35" s="7" t="s">
        <v>68</v>
      </c>
      <c r="D35" s="7" t="s">
        <v>71</v>
      </c>
      <c r="E35" s="14">
        <f t="shared" ref="E35:F35" si="4">SUM(E30:E34)</f>
        <v>7135</v>
      </c>
      <c r="F35" s="14">
        <f t="shared" si="4"/>
        <v>218019</v>
      </c>
      <c r="G35" s="14">
        <f t="shared" ref="G35" si="5">SUM(G30:G34)</f>
        <v>80082</v>
      </c>
      <c r="H35" s="10" t="s">
        <v>85</v>
      </c>
      <c r="I35" s="10" t="s">
        <v>85</v>
      </c>
      <c r="J35" s="14">
        <f t="shared" ref="J35" si="6">SUM(J30:J34)</f>
        <v>5420</v>
      </c>
      <c r="K35" s="14">
        <f t="shared" ref="K35" si="7">SUM(K30:K34)</f>
        <v>-134185</v>
      </c>
      <c r="L35" s="14">
        <f t="shared" ref="L35" si="8">SUM(L30:L34)</f>
        <v>-113848</v>
      </c>
      <c r="M35" s="14">
        <f t="shared" ref="M35" si="9">SUM(M30:M34)</f>
        <v>378759</v>
      </c>
      <c r="N35" s="14">
        <f>SUM(N30:N34)-N28</f>
        <v>-46276</v>
      </c>
      <c r="O35" s="14">
        <f>SUM(O30:O34)-O28</f>
        <v>-247920</v>
      </c>
      <c r="P35" s="14">
        <f>SUM(P30:P34)-P28</f>
        <v>-91607</v>
      </c>
      <c r="Q35" s="14">
        <f>SUM(Q30:Q34)-Q28</f>
        <v>-90318</v>
      </c>
      <c r="R35" s="14">
        <f>SUM(R30:R34)-R28</f>
        <v>-518162</v>
      </c>
      <c r="S35" s="14">
        <f>SUM(S30:S34)-S28-S29</f>
        <v>-1534652</v>
      </c>
      <c r="T35" s="14">
        <f>SUM(T30:T34)-T28-T29</f>
        <v>-2149070</v>
      </c>
      <c r="U35" s="14">
        <f>SUM(U30:U34)-U28-U29</f>
        <v>-2896286</v>
      </c>
      <c r="V35" s="14">
        <f>SUM(V30:V34)-V28-V29</f>
        <v>-3710808</v>
      </c>
      <c r="W35" s="14">
        <f>SUM(W30:W34)-W28-W29</f>
        <v>-3551644</v>
      </c>
      <c r="X35" s="14">
        <f>SUM(X30:X34)-X28</f>
        <v>-3926961</v>
      </c>
      <c r="Y35" s="14">
        <f>SUM(Y30:Y34)-Y28</f>
        <v>-3951318</v>
      </c>
      <c r="Z35" s="14">
        <f>SUM(Z30:Z34)-Z28</f>
        <v>-3715878</v>
      </c>
      <c r="AA35" s="14">
        <f>SUM(AA30:AA34)-AA28</f>
        <v>-3513572</v>
      </c>
      <c r="AB35" s="11">
        <v>-2505361</v>
      </c>
      <c r="AC35" s="14">
        <f>SUM(AC30:AC34)-AC28</f>
        <v>3743086</v>
      </c>
    </row>
    <row r="36" spans="1:29" x14ac:dyDescent="0.35">
      <c r="A36" s="1" t="s">
        <v>125</v>
      </c>
      <c r="B36" s="1" t="s">
        <v>126</v>
      </c>
      <c r="C36" s="1" t="s">
        <v>72</v>
      </c>
      <c r="D36" s="1" t="s">
        <v>307</v>
      </c>
      <c r="E36" s="10" t="s">
        <v>85</v>
      </c>
      <c r="F36" s="10" t="s">
        <v>85</v>
      </c>
      <c r="G36" s="10" t="s">
        <v>85</v>
      </c>
      <c r="H36" s="10" t="s">
        <v>85</v>
      </c>
      <c r="I36" s="10" t="s">
        <v>85</v>
      </c>
      <c r="J36" s="10" t="s">
        <v>85</v>
      </c>
      <c r="K36" s="10" t="s">
        <v>85</v>
      </c>
      <c r="L36" s="10" t="s">
        <v>85</v>
      </c>
      <c r="M36" s="10" t="s">
        <v>85</v>
      </c>
      <c r="N36" s="10" t="s">
        <v>85</v>
      </c>
      <c r="O36" s="10" t="s">
        <v>85</v>
      </c>
      <c r="P36" s="10" t="s">
        <v>85</v>
      </c>
      <c r="Q36" s="16">
        <v>960464</v>
      </c>
      <c r="R36" s="16">
        <v>0</v>
      </c>
      <c r="S36" s="16">
        <f>1460134+51034</f>
        <v>1511168</v>
      </c>
      <c r="T36" s="16">
        <v>0</v>
      </c>
      <c r="U36" s="16">
        <v>0</v>
      </c>
      <c r="V36" s="16">
        <v>-963377</v>
      </c>
      <c r="W36" s="16">
        <v>963377</v>
      </c>
      <c r="X36" s="12">
        <v>339965</v>
      </c>
      <c r="Y36" s="16">
        <v>0</v>
      </c>
      <c r="Z36" s="16">
        <v>0</v>
      </c>
      <c r="AA36" s="16">
        <v>0</v>
      </c>
      <c r="AB36" s="16">
        <v>0</v>
      </c>
      <c r="AC36" s="16"/>
    </row>
    <row r="37" spans="1:29" x14ac:dyDescent="0.35">
      <c r="A37" s="1" t="s">
        <v>125</v>
      </c>
      <c r="B37" s="1" t="s">
        <v>126</v>
      </c>
      <c r="C37" s="7" t="s">
        <v>72</v>
      </c>
      <c r="D37" s="7" t="s">
        <v>72</v>
      </c>
      <c r="E37" s="14">
        <f>E25-E29+E35</f>
        <v>-158566</v>
      </c>
      <c r="F37" s="14">
        <f>F25-F29+F35</f>
        <v>996476</v>
      </c>
      <c r="G37" s="14">
        <f>G25-G29+G35</f>
        <v>-6918</v>
      </c>
      <c r="H37" s="10" t="s">
        <v>85</v>
      </c>
      <c r="I37" s="10" t="s">
        <v>85</v>
      </c>
      <c r="J37" s="14">
        <f>J25+J35</f>
        <v>-380146</v>
      </c>
      <c r="K37" s="14">
        <f>K25+K35</f>
        <v>415667</v>
      </c>
      <c r="L37" s="14">
        <f>L25+L35</f>
        <v>-463574</v>
      </c>
      <c r="M37" s="14">
        <f>M25+M35</f>
        <v>127868</v>
      </c>
      <c r="N37" s="14">
        <f t="shared" ref="N37:AC37" si="10">N25+N35</f>
        <v>-703596</v>
      </c>
      <c r="O37" s="14">
        <f t="shared" si="10"/>
        <v>-846631</v>
      </c>
      <c r="P37" s="14">
        <f t="shared" si="10"/>
        <v>-991343</v>
      </c>
      <c r="Q37" s="14">
        <f t="shared" si="10"/>
        <v>626752</v>
      </c>
      <c r="R37" s="14">
        <f t="shared" si="10"/>
        <v>2296399</v>
      </c>
      <c r="S37" s="14">
        <f t="shared" ref="S37:U37" si="11">S25+S35</f>
        <v>601996</v>
      </c>
      <c r="T37" s="14">
        <f t="shared" si="11"/>
        <v>947971</v>
      </c>
      <c r="U37" s="14">
        <f t="shared" si="11"/>
        <v>-1145295</v>
      </c>
      <c r="V37" s="14">
        <f t="shared" si="10"/>
        <v>-1538823</v>
      </c>
      <c r="W37" s="14">
        <f t="shared" si="10"/>
        <v>80705</v>
      </c>
      <c r="X37" s="14">
        <f>X25+X35-X29</f>
        <v>1893367</v>
      </c>
      <c r="Y37" s="14">
        <f t="shared" si="10"/>
        <v>-1278245</v>
      </c>
      <c r="Z37" s="14">
        <f t="shared" si="10"/>
        <v>-1972232</v>
      </c>
      <c r="AA37" s="14">
        <f t="shared" si="10"/>
        <v>2093002</v>
      </c>
      <c r="AB37" s="14">
        <f t="shared" si="10"/>
        <v>3088512</v>
      </c>
      <c r="AC37" s="14">
        <f t="shared" si="10"/>
        <v>6736889</v>
      </c>
    </row>
    <row r="38" spans="1:29" x14ac:dyDescent="0.35">
      <c r="A38" s="1" t="s">
        <v>125</v>
      </c>
      <c r="B38" s="1" t="s">
        <v>126</v>
      </c>
      <c r="C38" s="7" t="s">
        <v>73</v>
      </c>
      <c r="D38" s="7" t="s">
        <v>74</v>
      </c>
      <c r="E38" s="10" t="s">
        <v>85</v>
      </c>
      <c r="F38" s="10" t="s">
        <v>85</v>
      </c>
      <c r="G38" s="10" t="s">
        <v>85</v>
      </c>
      <c r="H38" s="10" t="s">
        <v>85</v>
      </c>
      <c r="I38" s="10" t="s">
        <v>85</v>
      </c>
      <c r="J38" s="14">
        <v>283865</v>
      </c>
      <c r="K38" s="14">
        <v>3188213</v>
      </c>
      <c r="L38" s="14">
        <v>3603880</v>
      </c>
      <c r="M38" s="14">
        <v>3140306</v>
      </c>
      <c r="N38" s="14">
        <v>3268174</v>
      </c>
      <c r="O38" s="14">
        <f>N39</f>
        <v>2564578</v>
      </c>
      <c r="P38" s="14">
        <f>O39</f>
        <v>1717947</v>
      </c>
      <c r="Q38" s="14">
        <f>P39</f>
        <v>726604</v>
      </c>
      <c r="R38" s="14">
        <f t="shared" ref="R38:AB38" si="12">Q39</f>
        <v>2313820</v>
      </c>
      <c r="S38" s="14">
        <f t="shared" si="12"/>
        <v>4610219</v>
      </c>
      <c r="T38" s="14">
        <f t="shared" si="12"/>
        <v>6723383</v>
      </c>
      <c r="U38" s="14">
        <f t="shared" si="12"/>
        <v>6862822</v>
      </c>
      <c r="V38" s="11">
        <v>4884833</v>
      </c>
      <c r="W38" s="14">
        <f t="shared" si="12"/>
        <v>2382633</v>
      </c>
      <c r="X38" s="14">
        <f>W39+X36</f>
        <v>3766680</v>
      </c>
      <c r="Y38" s="14">
        <f t="shared" si="12"/>
        <v>5660047</v>
      </c>
      <c r="Z38" s="14">
        <f t="shared" si="12"/>
        <v>4381802</v>
      </c>
      <c r="AA38" s="14">
        <f t="shared" si="12"/>
        <v>2409570</v>
      </c>
      <c r="AB38" s="14">
        <f t="shared" si="12"/>
        <v>4502572</v>
      </c>
      <c r="AC38" s="11">
        <v>7288816</v>
      </c>
    </row>
    <row r="39" spans="1:29" x14ac:dyDescent="0.35">
      <c r="A39" s="1" t="s">
        <v>125</v>
      </c>
      <c r="B39" s="1" t="s">
        <v>126</v>
      </c>
      <c r="C39" s="7" t="s">
        <v>73</v>
      </c>
      <c r="D39" s="7" t="s">
        <v>75</v>
      </c>
      <c r="E39" s="10" t="s">
        <v>85</v>
      </c>
      <c r="F39" s="10" t="s">
        <v>85</v>
      </c>
      <c r="G39" s="10" t="s">
        <v>85</v>
      </c>
      <c r="H39" s="10" t="s">
        <v>85</v>
      </c>
      <c r="I39" s="10" t="s">
        <v>85</v>
      </c>
      <c r="J39" s="14">
        <f t="shared" ref="J39:P39" si="13">SUM(J37:J38)</f>
        <v>-96281</v>
      </c>
      <c r="K39" s="14">
        <f t="shared" si="13"/>
        <v>3603880</v>
      </c>
      <c r="L39" s="14">
        <f t="shared" si="13"/>
        <v>3140306</v>
      </c>
      <c r="M39" s="14">
        <f t="shared" si="13"/>
        <v>3268174</v>
      </c>
      <c r="N39" s="14">
        <f t="shared" si="13"/>
        <v>2564578</v>
      </c>
      <c r="O39" s="14">
        <f t="shared" si="13"/>
        <v>1717947</v>
      </c>
      <c r="P39" s="14">
        <f t="shared" si="13"/>
        <v>726604</v>
      </c>
      <c r="Q39" s="14">
        <f>SUM(Q36:Q38)</f>
        <v>2313820</v>
      </c>
      <c r="R39" s="14">
        <f t="shared" ref="R39:Z39" si="14">SUM(R36:R38)</f>
        <v>4610219</v>
      </c>
      <c r="S39" s="14">
        <v>6723383</v>
      </c>
      <c r="T39" s="11">
        <v>6862822</v>
      </c>
      <c r="U39" s="14">
        <f t="shared" si="14"/>
        <v>5717527</v>
      </c>
      <c r="V39" s="11">
        <f>SUM(V36:V38)</f>
        <v>2382633</v>
      </c>
      <c r="W39" s="14">
        <f>SUM(W36:W38)</f>
        <v>3426715</v>
      </c>
      <c r="X39" s="14">
        <f>SUM(X37:X38)</f>
        <v>5660047</v>
      </c>
      <c r="Y39" s="14">
        <f t="shared" si="14"/>
        <v>4381802</v>
      </c>
      <c r="Z39" s="14">
        <f t="shared" si="14"/>
        <v>2409570</v>
      </c>
      <c r="AA39" s="14">
        <f>SUM(AA36:AA38)</f>
        <v>4502572</v>
      </c>
      <c r="AB39" s="11">
        <v>7371861</v>
      </c>
      <c r="AC39" s="14">
        <f>SUM(AC36:AC38)</f>
        <v>14025705</v>
      </c>
    </row>
    <row r="40" spans="1:29" x14ac:dyDescent="0.35">
      <c r="A40" s="1" t="s">
        <v>125</v>
      </c>
      <c r="B40" s="1" t="s">
        <v>126</v>
      </c>
      <c r="C40" s="7" t="s">
        <v>76</v>
      </c>
      <c r="D40" s="7" t="s">
        <v>76</v>
      </c>
      <c r="E40" s="10" t="s">
        <v>85</v>
      </c>
      <c r="F40" s="10" t="s">
        <v>85</v>
      </c>
      <c r="G40" s="10" t="s">
        <v>85</v>
      </c>
      <c r="H40" s="10" t="s">
        <v>85</v>
      </c>
      <c r="I40" s="10" t="s">
        <v>85</v>
      </c>
      <c r="J40" s="14">
        <f>J39-J38</f>
        <v>-380146</v>
      </c>
      <c r="K40" s="14">
        <f t="shared" ref="K40:L40" si="15">K39-K38</f>
        <v>415667</v>
      </c>
      <c r="L40" s="14">
        <f t="shared" si="15"/>
        <v>-463574</v>
      </c>
      <c r="M40" s="14">
        <f t="shared" ref="M40" si="16">M39-M38</f>
        <v>127868</v>
      </c>
      <c r="N40" s="14">
        <f t="shared" ref="N40" si="17">N39-N38</f>
        <v>-703596</v>
      </c>
      <c r="O40" s="14">
        <f t="shared" ref="O40" si="18">O39-O38</f>
        <v>-846631</v>
      </c>
      <c r="P40" s="14">
        <f t="shared" ref="P40" si="19">P39-P38</f>
        <v>-991343</v>
      </c>
      <c r="Q40" s="14">
        <f t="shared" ref="Q40" si="20">Q39-Q38</f>
        <v>1587216</v>
      </c>
      <c r="R40" s="14">
        <f t="shared" ref="R40" si="21">R39-R38</f>
        <v>2296399</v>
      </c>
      <c r="S40" s="14">
        <f t="shared" ref="S40" si="22">S39-S38</f>
        <v>2113164</v>
      </c>
      <c r="T40" s="14">
        <f t="shared" ref="T40" si="23">T39-T38</f>
        <v>139439</v>
      </c>
      <c r="U40" s="14">
        <f t="shared" ref="U40:Z40" si="24">U39-U38</f>
        <v>-1145295</v>
      </c>
      <c r="V40" s="14">
        <f t="shared" si="24"/>
        <v>-2502200</v>
      </c>
      <c r="W40" s="14">
        <f t="shared" si="24"/>
        <v>1044082</v>
      </c>
      <c r="X40" s="14">
        <f t="shared" si="24"/>
        <v>1893367</v>
      </c>
      <c r="Y40" s="14">
        <f t="shared" si="24"/>
        <v>-1278245</v>
      </c>
      <c r="Z40" s="14">
        <f t="shared" si="24"/>
        <v>-1972232</v>
      </c>
      <c r="AA40" s="14">
        <f>AA39-AA38</f>
        <v>2093002</v>
      </c>
      <c r="AB40" s="14">
        <f>AB39-AB38</f>
        <v>2869289</v>
      </c>
      <c r="AC40" s="14">
        <f>AC39-AC38</f>
        <v>6736889</v>
      </c>
    </row>
    <row r="41" spans="1:29" x14ac:dyDescent="0.35">
      <c r="A41" s="1" t="s">
        <v>125</v>
      </c>
      <c r="B41" s="1" t="s">
        <v>126</v>
      </c>
      <c r="C41" s="1" t="s">
        <v>309</v>
      </c>
      <c r="D41" s="1" t="s">
        <v>310</v>
      </c>
      <c r="E41" s="10" t="s">
        <v>85</v>
      </c>
      <c r="F41" s="10" t="s">
        <v>85</v>
      </c>
      <c r="G41" s="10" t="s">
        <v>85</v>
      </c>
      <c r="H41" s="10" t="s">
        <v>85</v>
      </c>
      <c r="I41" s="10" t="s">
        <v>85</v>
      </c>
      <c r="J41" s="10" t="s">
        <v>85</v>
      </c>
      <c r="K41" s="10" t="s">
        <v>85</v>
      </c>
      <c r="L41" s="10" t="s">
        <v>85</v>
      </c>
      <c r="M41" s="10" t="s">
        <v>85</v>
      </c>
      <c r="N41" s="10" t="s">
        <v>85</v>
      </c>
      <c r="O41" s="10" t="s">
        <v>85</v>
      </c>
      <c r="P41" s="10" t="s">
        <v>85</v>
      </c>
      <c r="Q41" s="26">
        <v>15377702</v>
      </c>
      <c r="R41" s="1">
        <v>19209494</v>
      </c>
      <c r="S41" s="1">
        <v>19928975</v>
      </c>
      <c r="T41" s="1">
        <v>20599067</v>
      </c>
      <c r="U41" s="1">
        <v>21861477</v>
      </c>
      <c r="V41" s="1">
        <v>24127918</v>
      </c>
      <c r="W41" s="1">
        <v>26823928</v>
      </c>
      <c r="X41" s="1">
        <v>29423273</v>
      </c>
    </row>
    <row r="42" spans="1:29" x14ac:dyDescent="0.35">
      <c r="A42" s="1" t="s">
        <v>125</v>
      </c>
      <c r="B42" s="1" t="s">
        <v>126</v>
      </c>
      <c r="C42" s="1" t="s">
        <v>309</v>
      </c>
      <c r="D42" s="1" t="s">
        <v>341</v>
      </c>
      <c r="E42" s="10" t="s">
        <v>85</v>
      </c>
      <c r="F42" s="10" t="s">
        <v>85</v>
      </c>
      <c r="G42" s="10" t="s">
        <v>85</v>
      </c>
      <c r="H42" s="10" t="s">
        <v>85</v>
      </c>
      <c r="I42" s="10" t="s">
        <v>85</v>
      </c>
      <c r="J42" s="10" t="s">
        <v>85</v>
      </c>
      <c r="K42" s="10" t="s">
        <v>85</v>
      </c>
      <c r="L42" s="10" t="s">
        <v>85</v>
      </c>
      <c r="M42" s="10" t="s">
        <v>85</v>
      </c>
      <c r="N42" s="10" t="s">
        <v>85</v>
      </c>
      <c r="O42" s="10" t="s">
        <v>85</v>
      </c>
      <c r="P42" s="10" t="s">
        <v>85</v>
      </c>
      <c r="Q42" s="26" t="s">
        <v>85</v>
      </c>
      <c r="R42" s="1" t="s">
        <v>85</v>
      </c>
      <c r="S42" s="1" t="s">
        <v>85</v>
      </c>
      <c r="T42" s="1">
        <v>5561465</v>
      </c>
      <c r="U42" s="1">
        <v>5876463</v>
      </c>
      <c r="V42" s="1">
        <v>5466860</v>
      </c>
      <c r="W42" s="1">
        <v>12568624</v>
      </c>
      <c r="X42" s="1">
        <v>13870685</v>
      </c>
    </row>
    <row r="43" spans="1:29" x14ac:dyDescent="0.35">
      <c r="A43" s="1" t="s">
        <v>125</v>
      </c>
      <c r="B43" s="1" t="s">
        <v>126</v>
      </c>
      <c r="C43" s="1" t="s">
        <v>309</v>
      </c>
      <c r="D43" s="1" t="s">
        <v>311</v>
      </c>
      <c r="E43" s="10" t="s">
        <v>85</v>
      </c>
      <c r="F43" s="10" t="s">
        <v>85</v>
      </c>
      <c r="G43" s="10" t="s">
        <v>85</v>
      </c>
      <c r="H43" s="10" t="s">
        <v>85</v>
      </c>
      <c r="I43" s="10" t="s">
        <v>85</v>
      </c>
      <c r="J43" s="10" t="s">
        <v>85</v>
      </c>
      <c r="K43" s="10" t="s">
        <v>85</v>
      </c>
      <c r="L43" s="10" t="s">
        <v>85</v>
      </c>
      <c r="M43" s="10" t="s">
        <v>85</v>
      </c>
      <c r="N43" s="10" t="s">
        <v>85</v>
      </c>
      <c r="O43" s="10" t="s">
        <v>85</v>
      </c>
      <c r="P43" s="10" t="s">
        <v>85</v>
      </c>
      <c r="Q43" s="26">
        <f>Q24</f>
        <v>13962691</v>
      </c>
      <c r="R43" s="26">
        <f t="shared" ref="R43:X43" si="25">R24</f>
        <v>15011644</v>
      </c>
      <c r="S43" s="26">
        <f t="shared" si="25"/>
        <v>15370543</v>
      </c>
      <c r="T43" s="26">
        <f t="shared" si="25"/>
        <v>16017650</v>
      </c>
      <c r="U43" s="26">
        <f t="shared" si="25"/>
        <v>19238784</v>
      </c>
      <c r="V43" s="26">
        <f t="shared" si="25"/>
        <v>21495389</v>
      </c>
      <c r="W43" s="26">
        <f t="shared" si="25"/>
        <v>20565464</v>
      </c>
      <c r="X43" s="26">
        <f t="shared" si="25"/>
        <v>19123652</v>
      </c>
    </row>
    <row r="44" spans="1:29" x14ac:dyDescent="0.35">
      <c r="A44" s="1" t="s">
        <v>125</v>
      </c>
      <c r="B44" s="1" t="s">
        <v>126</v>
      </c>
      <c r="C44" s="1" t="s">
        <v>309</v>
      </c>
      <c r="D44" s="1" t="s">
        <v>312</v>
      </c>
      <c r="E44" s="10" t="s">
        <v>85</v>
      </c>
      <c r="F44" s="10" t="s">
        <v>85</v>
      </c>
      <c r="G44" s="10" t="s">
        <v>85</v>
      </c>
      <c r="H44" s="10" t="s">
        <v>85</v>
      </c>
      <c r="I44" s="10" t="s">
        <v>85</v>
      </c>
      <c r="J44" s="10" t="s">
        <v>85</v>
      </c>
      <c r="K44" s="10" t="s">
        <v>85</v>
      </c>
      <c r="L44" s="10" t="s">
        <v>85</v>
      </c>
      <c r="M44" s="10" t="s">
        <v>85</v>
      </c>
      <c r="N44" s="10" t="s">
        <v>85</v>
      </c>
      <c r="O44" s="10" t="s">
        <v>85</v>
      </c>
      <c r="P44" s="10" t="s">
        <v>85</v>
      </c>
      <c r="Q44" s="26">
        <f>Q41-Q43</f>
        <v>1415011</v>
      </c>
      <c r="R44" s="26">
        <f t="shared" ref="R44:S44" si="26">R41-R43</f>
        <v>4197850</v>
      </c>
      <c r="S44" s="26">
        <f t="shared" si="26"/>
        <v>4558432</v>
      </c>
      <c r="T44" s="26">
        <f>T41-T43+T42</f>
        <v>10142882</v>
      </c>
      <c r="U44" s="26">
        <f t="shared" ref="U44:W44" si="27">U41-U43+U42</f>
        <v>8499156</v>
      </c>
      <c r="V44" s="26">
        <f t="shared" si="27"/>
        <v>8099389</v>
      </c>
      <c r="W44" s="26">
        <f t="shared" si="27"/>
        <v>18827088</v>
      </c>
      <c r="X44" s="26">
        <f>X41-X43+X42</f>
        <v>24170306</v>
      </c>
    </row>
    <row r="45" spans="1:29" x14ac:dyDescent="0.35">
      <c r="A45" s="1" t="s">
        <v>125</v>
      </c>
      <c r="B45" s="1" t="s">
        <v>126</v>
      </c>
      <c r="C45" s="1" t="s">
        <v>309</v>
      </c>
      <c r="D45" s="1" t="s">
        <v>313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">
        <v>590238</v>
      </c>
      <c r="R45" s="1">
        <v>1057522</v>
      </c>
      <c r="S45" s="1">
        <v>1826565</v>
      </c>
      <c r="T45" s="1">
        <v>1824228</v>
      </c>
      <c r="U45" s="1">
        <v>1857454</v>
      </c>
      <c r="V45" s="1">
        <v>2758327</v>
      </c>
      <c r="W45" s="1">
        <v>6353644</v>
      </c>
      <c r="X45" s="1">
        <v>6788136</v>
      </c>
    </row>
    <row r="46" spans="1:29" s="7" customFormat="1" x14ac:dyDescent="0.35">
      <c r="A46" s="7" t="s">
        <v>125</v>
      </c>
      <c r="B46" s="7" t="s">
        <v>126</v>
      </c>
      <c r="C46" s="7" t="s">
        <v>309</v>
      </c>
      <c r="D46" s="7" t="s">
        <v>309</v>
      </c>
      <c r="E46" s="14" t="s">
        <v>85</v>
      </c>
      <c r="F46" s="14" t="s">
        <v>85</v>
      </c>
      <c r="G46" s="14" t="s">
        <v>85</v>
      </c>
      <c r="H46" s="14" t="s">
        <v>85</v>
      </c>
      <c r="I46" s="14" t="s">
        <v>85</v>
      </c>
      <c r="J46" s="14" t="s">
        <v>85</v>
      </c>
      <c r="K46" s="14" t="s">
        <v>85</v>
      </c>
      <c r="L46" s="14" t="s">
        <v>85</v>
      </c>
      <c r="M46" s="14" t="s">
        <v>85</v>
      </c>
      <c r="N46" s="14" t="s">
        <v>85</v>
      </c>
      <c r="O46" s="14" t="s">
        <v>85</v>
      </c>
      <c r="P46" s="14" t="s">
        <v>85</v>
      </c>
      <c r="Q46" s="27">
        <f t="shared" ref="Q46:W46" si="28">Q44/Q45</f>
        <v>2.3973566595170084</v>
      </c>
      <c r="R46" s="27">
        <f t="shared" si="28"/>
        <v>3.9695155278093504</v>
      </c>
      <c r="S46" s="27">
        <f t="shared" si="28"/>
        <v>2.4956308699663028</v>
      </c>
      <c r="T46" s="27">
        <f t="shared" si="28"/>
        <v>5.5600955582306595</v>
      </c>
      <c r="U46" s="27">
        <f t="shared" si="28"/>
        <v>4.5757020093095173</v>
      </c>
      <c r="V46" s="27">
        <f t="shared" si="28"/>
        <v>2.9363411227167773</v>
      </c>
      <c r="W46" s="27">
        <f t="shared" si="28"/>
        <v>2.9631952939132251</v>
      </c>
      <c r="X46" s="27">
        <f>X44/X45</f>
        <v>3.5606690850036005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55"/>
  <sheetViews>
    <sheetView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8.90625" defaultRowHeight="14.5" x14ac:dyDescent="0.35"/>
  <cols>
    <col min="1" max="1" width="10.36328125" style="1" bestFit="1" customWidth="1"/>
    <col min="2" max="3" width="8.90625" style="1"/>
    <col min="4" max="4" width="38.08984375" style="1" customWidth="1"/>
    <col min="5" max="5" width="8.90625" style="1"/>
    <col min="6" max="6" width="11.6328125" style="1" customWidth="1"/>
    <col min="7" max="14" width="11.453125" style="1" bestFit="1" customWidth="1"/>
    <col min="15" max="15" width="12.453125" style="1" bestFit="1" customWidth="1"/>
    <col min="16" max="18" width="11.453125" style="1" bestFit="1" customWidth="1"/>
    <col min="19" max="19" width="11.36328125" style="1" customWidth="1"/>
    <col min="20" max="20" width="11.453125" style="1" bestFit="1" customWidth="1"/>
    <col min="21" max="21" width="11.36328125" style="1" customWidth="1"/>
    <col min="22" max="22" width="12.36328125" style="1" customWidth="1"/>
    <col min="23" max="23" width="12.6328125" style="1" customWidth="1"/>
    <col min="24" max="24" width="14.36328125" style="1" customWidth="1"/>
    <col min="25" max="25" width="12.6328125" style="1" customWidth="1"/>
    <col min="26" max="26" width="11.6328125" style="1" customWidth="1"/>
    <col min="27" max="29" width="12.453125" style="1" bestFit="1" customWidth="1"/>
    <col min="30" max="16384" width="8.90625" style="1"/>
  </cols>
  <sheetData>
    <row r="1" spans="1:29" x14ac:dyDescent="0.35">
      <c r="E1" s="11"/>
      <c r="F1" s="10"/>
      <c r="G1" s="10"/>
      <c r="H1" s="10"/>
      <c r="I1" s="10"/>
      <c r="J1" s="12"/>
      <c r="K1" s="12"/>
      <c r="L1" s="12"/>
      <c r="M1" s="12"/>
      <c r="N1" s="12"/>
      <c r="O1" s="12"/>
      <c r="P1" s="12"/>
      <c r="Q1" s="12"/>
      <c r="R1" s="12"/>
      <c r="S1" s="13" t="s">
        <v>34</v>
      </c>
      <c r="T1" s="12"/>
      <c r="U1" s="12"/>
      <c r="V1" s="12"/>
      <c r="W1" s="13" t="s">
        <v>35</v>
      </c>
      <c r="X1" s="12"/>
      <c r="Y1" s="12"/>
      <c r="Z1" s="12"/>
      <c r="AA1" s="12"/>
      <c r="AB1" s="12"/>
    </row>
    <row r="2" spans="1:29" x14ac:dyDescent="0.35">
      <c r="A2" s="2" t="s">
        <v>0</v>
      </c>
      <c r="B2" s="2" t="s">
        <v>27</v>
      </c>
      <c r="C2" s="2" t="s">
        <v>423</v>
      </c>
      <c r="D2" s="2" t="s">
        <v>424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124</v>
      </c>
    </row>
    <row r="3" spans="1:29" x14ac:dyDescent="0.35">
      <c r="A3" s="1" t="s">
        <v>125</v>
      </c>
      <c r="B3" s="1" t="s">
        <v>126</v>
      </c>
      <c r="C3" s="1" t="s">
        <v>427</v>
      </c>
      <c r="D3" s="1" t="s">
        <v>428</v>
      </c>
      <c r="E3" s="10"/>
      <c r="F3" s="10"/>
      <c r="G3" s="10"/>
      <c r="H3" s="10">
        <v>287650</v>
      </c>
      <c r="I3" s="10">
        <v>1144493</v>
      </c>
      <c r="J3" s="12">
        <v>805971</v>
      </c>
      <c r="K3" s="12">
        <v>675296</v>
      </c>
      <c r="L3" s="12">
        <v>2684517</v>
      </c>
      <c r="M3" s="12">
        <v>826934</v>
      </c>
      <c r="N3" s="12">
        <v>2364900</v>
      </c>
      <c r="O3" s="12">
        <v>1673624</v>
      </c>
      <c r="P3" s="12">
        <v>1988027</v>
      </c>
      <c r="Q3" s="12">
        <v>1695717</v>
      </c>
      <c r="R3" s="12">
        <v>7826411</v>
      </c>
      <c r="S3" s="12">
        <v>7160432</v>
      </c>
      <c r="T3" s="12">
        <v>5561465</v>
      </c>
      <c r="U3" s="12">
        <v>5876463</v>
      </c>
      <c r="V3" s="12">
        <v>5466860</v>
      </c>
      <c r="W3" s="12">
        <v>12568624</v>
      </c>
      <c r="X3" s="12">
        <v>13870685</v>
      </c>
      <c r="Y3" s="12">
        <v>15717864</v>
      </c>
      <c r="Z3" s="12">
        <v>14376069</v>
      </c>
      <c r="AA3" s="12">
        <v>15407934</v>
      </c>
      <c r="AB3" s="12">
        <v>19136396</v>
      </c>
      <c r="AC3" s="1">
        <v>18330441</v>
      </c>
    </row>
    <row r="4" spans="1:29" x14ac:dyDescent="0.35">
      <c r="A4" s="1" t="s">
        <v>125</v>
      </c>
      <c r="B4" s="1" t="s">
        <v>126</v>
      </c>
      <c r="C4" s="1" t="s">
        <v>427</v>
      </c>
      <c r="D4" s="1" t="s">
        <v>429</v>
      </c>
      <c r="E4" s="10"/>
      <c r="F4" s="10"/>
      <c r="G4" s="10"/>
      <c r="H4" s="10">
        <v>2846440</v>
      </c>
      <c r="I4" s="10">
        <v>2843568</v>
      </c>
      <c r="J4" s="12">
        <v>827639</v>
      </c>
      <c r="K4" s="12">
        <v>2403718</v>
      </c>
      <c r="L4" s="12">
        <v>1111984</v>
      </c>
      <c r="M4" s="12">
        <v>806326</v>
      </c>
      <c r="N4" s="12">
        <v>1218053</v>
      </c>
      <c r="O4" s="12">
        <v>1096314</v>
      </c>
      <c r="P4" s="12">
        <v>1241981</v>
      </c>
      <c r="Q4" s="12">
        <v>2041253</v>
      </c>
      <c r="R4" s="12">
        <v>3015021</v>
      </c>
      <c r="S4" s="12">
        <v>2011542</v>
      </c>
      <c r="T4" s="12">
        <v>2287226</v>
      </c>
      <c r="U4" s="12">
        <v>2366265</v>
      </c>
      <c r="V4" s="12">
        <v>3044335</v>
      </c>
      <c r="W4" s="12">
        <v>3228473</v>
      </c>
      <c r="X4" s="12">
        <v>3408732</v>
      </c>
      <c r="Y4" s="12">
        <v>3250666</v>
      </c>
      <c r="Z4" s="12">
        <v>3350950</v>
      </c>
      <c r="AA4" s="12">
        <v>3695550</v>
      </c>
      <c r="AB4" s="12">
        <v>3866937</v>
      </c>
      <c r="AC4" s="1">
        <v>4002415</v>
      </c>
    </row>
    <row r="5" spans="1:29" x14ac:dyDescent="0.35">
      <c r="A5" s="1" t="s">
        <v>125</v>
      </c>
      <c r="B5" s="1" t="s">
        <v>126</v>
      </c>
      <c r="C5" s="1" t="s">
        <v>427</v>
      </c>
      <c r="D5" s="1" t="s">
        <v>430</v>
      </c>
      <c r="E5" s="10"/>
      <c r="F5" s="10"/>
      <c r="G5" s="10"/>
      <c r="H5" s="10" t="s">
        <v>85</v>
      </c>
      <c r="I5" s="10" t="s">
        <v>85</v>
      </c>
      <c r="J5" s="10" t="s">
        <v>85</v>
      </c>
      <c r="K5" s="10" t="s">
        <v>85</v>
      </c>
      <c r="L5" s="10" t="s">
        <v>85</v>
      </c>
      <c r="M5" s="10" t="s">
        <v>85</v>
      </c>
      <c r="N5" s="10" t="s">
        <v>85</v>
      </c>
      <c r="O5" s="10" t="s">
        <v>85</v>
      </c>
      <c r="P5" s="10" t="s">
        <v>85</v>
      </c>
      <c r="Q5" s="10" t="s">
        <v>85</v>
      </c>
      <c r="R5" s="10" t="s">
        <v>85</v>
      </c>
      <c r="S5" s="10" t="s">
        <v>85</v>
      </c>
      <c r="T5" s="10" t="s">
        <v>85</v>
      </c>
      <c r="U5" s="12">
        <v>0</v>
      </c>
      <c r="V5" s="12">
        <v>0</v>
      </c>
      <c r="W5" s="12">
        <v>0</v>
      </c>
      <c r="X5" s="12">
        <v>795039</v>
      </c>
      <c r="Y5" s="12">
        <v>918453</v>
      </c>
      <c r="Z5" s="12">
        <v>1075561</v>
      </c>
      <c r="AA5" s="12">
        <v>1210803</v>
      </c>
      <c r="AB5" s="12">
        <v>1015535</v>
      </c>
      <c r="AC5" s="1">
        <v>1170171</v>
      </c>
    </row>
    <row r="6" spans="1:29" x14ac:dyDescent="0.35">
      <c r="A6" s="1" t="s">
        <v>125</v>
      </c>
      <c r="B6" s="1" t="s">
        <v>126</v>
      </c>
      <c r="C6" s="1" t="s">
        <v>427</v>
      </c>
      <c r="D6" s="1" t="s">
        <v>475</v>
      </c>
      <c r="E6" s="10"/>
      <c r="F6" s="10"/>
      <c r="G6" s="10"/>
      <c r="H6" s="10">
        <v>1709345</v>
      </c>
      <c r="I6" s="10">
        <v>3390881</v>
      </c>
      <c r="J6" s="12">
        <v>4815082</v>
      </c>
      <c r="K6" s="12">
        <v>4306120</v>
      </c>
      <c r="L6" s="12">
        <v>11349880</v>
      </c>
      <c r="M6" s="12">
        <v>8097862</v>
      </c>
      <c r="N6" s="12">
        <v>0</v>
      </c>
      <c r="O6" s="12">
        <v>11600</v>
      </c>
      <c r="P6" s="12">
        <v>11600</v>
      </c>
      <c r="Q6" s="12">
        <v>268069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1096219</v>
      </c>
      <c r="Y6" s="12">
        <v>1137270</v>
      </c>
      <c r="Z6" s="12">
        <v>1010684</v>
      </c>
      <c r="AA6" s="12">
        <v>37624</v>
      </c>
      <c r="AB6" s="12">
        <v>28426</v>
      </c>
      <c r="AC6" s="1">
        <v>16598</v>
      </c>
    </row>
    <row r="7" spans="1:29" x14ac:dyDescent="0.35">
      <c r="A7" s="1" t="s">
        <v>125</v>
      </c>
      <c r="B7" s="1" t="s">
        <v>126</v>
      </c>
      <c r="C7" s="1" t="s">
        <v>427</v>
      </c>
      <c r="D7" s="1" t="s">
        <v>471</v>
      </c>
      <c r="E7" s="10"/>
      <c r="F7" s="10"/>
      <c r="G7" s="10"/>
      <c r="H7" s="10" t="s">
        <v>85</v>
      </c>
      <c r="I7" s="10" t="s">
        <v>85</v>
      </c>
      <c r="J7" s="10" t="s">
        <v>85</v>
      </c>
      <c r="K7" s="10" t="s">
        <v>85</v>
      </c>
      <c r="L7" s="10">
        <v>0</v>
      </c>
      <c r="M7" s="10">
        <v>550000</v>
      </c>
      <c r="N7" s="10" t="s">
        <v>85</v>
      </c>
      <c r="O7" s="10" t="s">
        <v>85</v>
      </c>
      <c r="P7" s="10" t="s">
        <v>85</v>
      </c>
      <c r="Q7" s="10">
        <v>0</v>
      </c>
      <c r="R7" s="12">
        <v>0</v>
      </c>
      <c r="S7" s="12">
        <v>0</v>
      </c>
      <c r="T7" s="12">
        <v>2885349</v>
      </c>
      <c r="U7" s="12">
        <v>2696356</v>
      </c>
      <c r="V7" s="12">
        <v>1477135</v>
      </c>
      <c r="W7" s="12">
        <v>0</v>
      </c>
      <c r="X7" s="12">
        <v>373172</v>
      </c>
      <c r="Y7" s="12" t="s">
        <v>85</v>
      </c>
      <c r="Z7" s="12" t="s">
        <v>85</v>
      </c>
      <c r="AA7" s="12" t="s">
        <v>85</v>
      </c>
      <c r="AB7" s="12" t="s">
        <v>85</v>
      </c>
      <c r="AC7" s="12" t="s">
        <v>85</v>
      </c>
    </row>
    <row r="8" spans="1:29" x14ac:dyDescent="0.35">
      <c r="A8" s="1" t="s">
        <v>125</v>
      </c>
      <c r="B8" s="1" t="s">
        <v>126</v>
      </c>
      <c r="C8" s="1" t="s">
        <v>427</v>
      </c>
      <c r="D8" s="1" t="s">
        <v>431</v>
      </c>
      <c r="E8" s="10"/>
      <c r="F8" s="10"/>
      <c r="G8" s="10"/>
      <c r="H8" s="10">
        <v>0</v>
      </c>
      <c r="I8" s="10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5750</v>
      </c>
      <c r="P8" s="12">
        <v>5750</v>
      </c>
      <c r="Q8" s="12">
        <v>5000</v>
      </c>
      <c r="R8" s="12">
        <v>5000</v>
      </c>
      <c r="S8" s="12">
        <v>6973</v>
      </c>
      <c r="T8" s="12">
        <v>49108</v>
      </c>
      <c r="U8" s="12">
        <v>0</v>
      </c>
      <c r="V8" s="12">
        <v>22478</v>
      </c>
      <c r="W8" s="12">
        <v>44212</v>
      </c>
      <c r="X8" s="12">
        <v>56759</v>
      </c>
      <c r="Y8" s="12">
        <v>216793</v>
      </c>
      <c r="Z8" s="12">
        <v>137811</v>
      </c>
      <c r="AA8" s="12">
        <v>40468</v>
      </c>
      <c r="AB8" s="12">
        <v>40468</v>
      </c>
      <c r="AC8" s="1">
        <v>47068</v>
      </c>
    </row>
    <row r="9" spans="1:29" x14ac:dyDescent="0.35">
      <c r="A9" s="1" t="s">
        <v>125</v>
      </c>
      <c r="B9" s="1" t="s">
        <v>126</v>
      </c>
      <c r="C9" s="1" t="s">
        <v>427</v>
      </c>
      <c r="D9" s="1" t="s">
        <v>457</v>
      </c>
      <c r="E9" s="10"/>
      <c r="F9" s="10"/>
      <c r="G9" s="10"/>
      <c r="H9" s="10">
        <v>0</v>
      </c>
      <c r="I9" s="10">
        <v>0</v>
      </c>
      <c r="J9" s="12">
        <v>2717985</v>
      </c>
      <c r="K9" s="12">
        <v>1040382</v>
      </c>
      <c r="L9" s="12">
        <v>170800</v>
      </c>
      <c r="M9" s="12">
        <v>1957525</v>
      </c>
      <c r="N9" s="12" t="s">
        <v>85</v>
      </c>
      <c r="O9" s="12" t="s">
        <v>85</v>
      </c>
      <c r="P9" s="12" t="s">
        <v>85</v>
      </c>
      <c r="Q9" s="12" t="s">
        <v>85</v>
      </c>
      <c r="R9" s="10">
        <v>197154</v>
      </c>
      <c r="S9" s="10">
        <v>1522284</v>
      </c>
      <c r="T9" s="10">
        <v>153874</v>
      </c>
      <c r="U9" s="12">
        <v>0</v>
      </c>
      <c r="V9" s="12" t="s">
        <v>85</v>
      </c>
      <c r="W9" s="12" t="s">
        <v>85</v>
      </c>
      <c r="X9" s="12" t="s">
        <v>85</v>
      </c>
      <c r="Y9" s="12" t="s">
        <v>85</v>
      </c>
      <c r="Z9" s="12" t="s">
        <v>85</v>
      </c>
      <c r="AA9" s="12" t="s">
        <v>85</v>
      </c>
      <c r="AB9" s="12" t="s">
        <v>85</v>
      </c>
      <c r="AC9" s="12">
        <v>2129961</v>
      </c>
    </row>
    <row r="10" spans="1:29" x14ac:dyDescent="0.35">
      <c r="A10" s="1" t="s">
        <v>125</v>
      </c>
      <c r="B10" s="1" t="s">
        <v>126</v>
      </c>
      <c r="C10" s="1" t="s">
        <v>427</v>
      </c>
      <c r="D10" s="1" t="s">
        <v>474</v>
      </c>
      <c r="E10" s="10"/>
      <c r="F10" s="10"/>
      <c r="G10" s="10"/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2">
        <v>107799</v>
      </c>
      <c r="X10" s="12">
        <v>142349</v>
      </c>
      <c r="Y10" s="12">
        <v>199213</v>
      </c>
      <c r="Z10" s="12">
        <v>215376</v>
      </c>
      <c r="AA10" s="12">
        <v>222532</v>
      </c>
      <c r="AB10" s="12">
        <v>283809</v>
      </c>
      <c r="AC10" s="1">
        <v>189543</v>
      </c>
    </row>
    <row r="11" spans="1:29" x14ac:dyDescent="0.35">
      <c r="A11" s="1" t="s">
        <v>125</v>
      </c>
      <c r="B11" s="1" t="s">
        <v>126</v>
      </c>
      <c r="C11" s="1" t="s">
        <v>427</v>
      </c>
      <c r="D11" s="1" t="s">
        <v>64</v>
      </c>
      <c r="E11" s="10"/>
      <c r="F11" s="10"/>
      <c r="G11" s="10"/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2" t="s">
        <v>85</v>
      </c>
      <c r="O11" s="12" t="s">
        <v>85</v>
      </c>
      <c r="P11" s="12" t="s">
        <v>85</v>
      </c>
      <c r="Q11" s="12" t="s">
        <v>85</v>
      </c>
      <c r="R11" s="10">
        <v>0</v>
      </c>
      <c r="S11" s="10">
        <v>33211</v>
      </c>
      <c r="T11" s="10">
        <v>25082</v>
      </c>
      <c r="U11" s="12">
        <v>43984</v>
      </c>
      <c r="V11" s="12">
        <v>14311</v>
      </c>
      <c r="W11" s="12">
        <v>14435</v>
      </c>
      <c r="X11" s="12">
        <v>14435</v>
      </c>
      <c r="Y11" s="12">
        <v>81121</v>
      </c>
      <c r="Z11" s="12">
        <v>0</v>
      </c>
      <c r="AA11" s="12">
        <v>0</v>
      </c>
      <c r="AB11" s="12">
        <v>0</v>
      </c>
      <c r="AC11" s="1">
        <v>0</v>
      </c>
    </row>
    <row r="12" spans="1:29" s="7" customFormat="1" x14ac:dyDescent="0.35">
      <c r="A12" s="1" t="s">
        <v>125</v>
      </c>
      <c r="B12" s="1" t="s">
        <v>126</v>
      </c>
      <c r="C12" s="7" t="s">
        <v>427</v>
      </c>
      <c r="D12" s="7" t="s">
        <v>432</v>
      </c>
      <c r="E12" s="10"/>
      <c r="F12" s="14"/>
      <c r="G12" s="14"/>
      <c r="H12" s="14">
        <f t="shared" ref="H12:AC12" si="0">SUM(H3:H11)</f>
        <v>4843435</v>
      </c>
      <c r="I12" s="14">
        <f t="shared" si="0"/>
        <v>7378942</v>
      </c>
      <c r="J12" s="14">
        <f t="shared" si="0"/>
        <v>9166677</v>
      </c>
      <c r="K12" s="14">
        <f t="shared" si="0"/>
        <v>8425516</v>
      </c>
      <c r="L12" s="14">
        <f t="shared" si="0"/>
        <v>15317181</v>
      </c>
      <c r="M12" s="14">
        <f t="shared" si="0"/>
        <v>12238647</v>
      </c>
      <c r="N12" s="14">
        <f t="shared" si="0"/>
        <v>3582953</v>
      </c>
      <c r="O12" s="14">
        <f t="shared" si="0"/>
        <v>2787288</v>
      </c>
      <c r="P12" s="14">
        <f t="shared" si="0"/>
        <v>3247358</v>
      </c>
      <c r="Q12" s="14">
        <f t="shared" si="0"/>
        <v>4010039</v>
      </c>
      <c r="R12" s="14">
        <f t="shared" si="0"/>
        <v>11043586</v>
      </c>
      <c r="S12" s="14">
        <f t="shared" si="0"/>
        <v>10734442</v>
      </c>
      <c r="T12" s="14">
        <f t="shared" si="0"/>
        <v>10962104</v>
      </c>
      <c r="U12" s="14">
        <f t="shared" si="0"/>
        <v>10983068</v>
      </c>
      <c r="V12" s="14">
        <f t="shared" si="0"/>
        <v>10025119</v>
      </c>
      <c r="W12" s="14">
        <f t="shared" si="0"/>
        <v>15963543</v>
      </c>
      <c r="X12" s="14">
        <f t="shared" si="0"/>
        <v>19757390</v>
      </c>
      <c r="Y12" s="14">
        <f t="shared" si="0"/>
        <v>21521380</v>
      </c>
      <c r="Z12" s="14">
        <f t="shared" si="0"/>
        <v>20166451</v>
      </c>
      <c r="AA12" s="14">
        <f t="shared" si="0"/>
        <v>20614911</v>
      </c>
      <c r="AB12" s="14">
        <f t="shared" si="0"/>
        <v>24371571</v>
      </c>
      <c r="AC12" s="14">
        <f t="shared" si="0"/>
        <v>25886197</v>
      </c>
    </row>
    <row r="13" spans="1:29" x14ac:dyDescent="0.35">
      <c r="A13" s="1" t="s">
        <v>125</v>
      </c>
      <c r="B13" s="1" t="s">
        <v>126</v>
      </c>
      <c r="C13" s="1" t="s">
        <v>433</v>
      </c>
      <c r="D13" s="1" t="s">
        <v>434</v>
      </c>
      <c r="E13" s="10"/>
      <c r="F13" s="10"/>
      <c r="G13" s="10"/>
      <c r="H13" s="10"/>
      <c r="I13" s="10"/>
      <c r="J13" s="12"/>
      <c r="K13" s="12"/>
      <c r="L13" s="12"/>
      <c r="M13" s="12"/>
      <c r="N13" s="12">
        <v>8850392</v>
      </c>
      <c r="O13" s="12">
        <v>7671001</v>
      </c>
      <c r="P13" s="12">
        <v>4786578</v>
      </c>
      <c r="Q13" s="12">
        <v>4984691</v>
      </c>
      <c r="R13" s="12">
        <v>20132239</v>
      </c>
      <c r="S13" s="12">
        <v>19249101</v>
      </c>
      <c r="T13" s="12">
        <v>15725144</v>
      </c>
      <c r="U13" s="12">
        <v>12376828</v>
      </c>
      <c r="V13" s="12">
        <v>42450430</v>
      </c>
      <c r="W13" s="12">
        <v>33724232</v>
      </c>
      <c r="X13" s="12">
        <v>25139855</v>
      </c>
      <c r="Y13" s="12">
        <v>21724438</v>
      </c>
      <c r="Z13" s="12">
        <v>16336018</v>
      </c>
      <c r="AA13" s="12">
        <v>11689991</v>
      </c>
      <c r="AB13" s="12">
        <v>3581321</v>
      </c>
      <c r="AC13" s="12">
        <v>1845316</v>
      </c>
    </row>
    <row r="14" spans="1:29" x14ac:dyDescent="0.35">
      <c r="A14" s="1" t="s">
        <v>125</v>
      </c>
      <c r="B14" s="1" t="s">
        <v>126</v>
      </c>
      <c r="C14" s="1" t="s">
        <v>433</v>
      </c>
      <c r="D14" s="1" t="s">
        <v>435</v>
      </c>
      <c r="E14" s="10"/>
      <c r="F14" s="10"/>
      <c r="G14" s="10"/>
      <c r="H14" s="10"/>
      <c r="I14" s="10"/>
      <c r="J14" s="12"/>
      <c r="K14" s="12"/>
      <c r="L14" s="12"/>
      <c r="M14" s="12"/>
      <c r="N14" s="12">
        <v>54</v>
      </c>
      <c r="O14" s="12">
        <v>259</v>
      </c>
      <c r="P14" s="12">
        <v>0</v>
      </c>
      <c r="Q14" s="12">
        <v>487</v>
      </c>
      <c r="R14" s="12">
        <v>2527039</v>
      </c>
      <c r="S14" s="12">
        <v>1479574</v>
      </c>
      <c r="T14" s="12">
        <v>334295</v>
      </c>
      <c r="U14" s="12">
        <v>3</v>
      </c>
      <c r="V14" s="12">
        <v>7518131</v>
      </c>
      <c r="W14" s="12">
        <v>5097732</v>
      </c>
      <c r="X14" s="12">
        <v>2549664</v>
      </c>
      <c r="Y14" s="12">
        <v>1342</v>
      </c>
      <c r="Z14" s="12">
        <v>101741</v>
      </c>
      <c r="AA14" s="12">
        <v>36</v>
      </c>
      <c r="AB14" s="12">
        <v>21310</v>
      </c>
      <c r="AC14" s="12">
        <v>7264</v>
      </c>
    </row>
    <row r="15" spans="1:29" x14ac:dyDescent="0.35">
      <c r="A15" s="1" t="s">
        <v>125</v>
      </c>
      <c r="B15" s="1" t="s">
        <v>126</v>
      </c>
      <c r="C15" s="1" t="s">
        <v>433</v>
      </c>
      <c r="D15" s="1" t="s">
        <v>94</v>
      </c>
      <c r="E15" s="10"/>
      <c r="F15" s="10"/>
      <c r="G15" s="10"/>
      <c r="H15" s="10"/>
      <c r="I15" s="10"/>
      <c r="J15" s="12"/>
      <c r="K15" s="12"/>
      <c r="L15" s="12"/>
      <c r="M15" s="12"/>
      <c r="N15" s="12">
        <v>1242383</v>
      </c>
      <c r="O15" s="12">
        <v>1256343</v>
      </c>
      <c r="P15" s="12">
        <v>1276622</v>
      </c>
      <c r="Q15" s="12">
        <v>1319547</v>
      </c>
      <c r="R15" s="12">
        <v>3905086</v>
      </c>
      <c r="S15" s="12">
        <v>3962743</v>
      </c>
      <c r="T15" s="12">
        <v>4065061</v>
      </c>
      <c r="U15" s="12">
        <v>4044552</v>
      </c>
      <c r="V15" s="12">
        <v>7421898</v>
      </c>
      <c r="W15" s="12">
        <v>7461141</v>
      </c>
      <c r="X15" s="12">
        <v>7428999</v>
      </c>
      <c r="Y15" s="12">
        <v>7509853</v>
      </c>
      <c r="Z15" s="12">
        <v>7386954</v>
      </c>
      <c r="AA15" s="12">
        <v>7386586</v>
      </c>
      <c r="AB15" s="12">
        <v>7384320</v>
      </c>
      <c r="AC15" s="12">
        <v>7430691</v>
      </c>
    </row>
    <row r="16" spans="1:29" x14ac:dyDescent="0.35">
      <c r="A16" s="1" t="s">
        <v>125</v>
      </c>
      <c r="B16" s="1" t="s">
        <v>126</v>
      </c>
      <c r="C16" s="1" t="s">
        <v>433</v>
      </c>
      <c r="D16" s="1" t="s">
        <v>436</v>
      </c>
      <c r="E16" s="10"/>
      <c r="F16" s="10"/>
      <c r="G16" s="10"/>
      <c r="H16" s="10"/>
      <c r="I16" s="10"/>
      <c r="J16" s="10"/>
      <c r="K16" s="10"/>
      <c r="L16" s="10"/>
      <c r="M16" s="10"/>
      <c r="N16" s="10">
        <v>8849</v>
      </c>
      <c r="O16" s="10">
        <v>8899</v>
      </c>
      <c r="P16" s="10">
        <v>13588</v>
      </c>
      <c r="Q16" s="10">
        <v>17010</v>
      </c>
      <c r="R16" s="10">
        <v>35931</v>
      </c>
      <c r="S16" s="10">
        <v>10176</v>
      </c>
      <c r="T16" s="10">
        <v>10177</v>
      </c>
      <c r="U16" s="12">
        <v>93107</v>
      </c>
      <c r="V16" s="12">
        <v>114741</v>
      </c>
      <c r="W16" s="12">
        <v>65328</v>
      </c>
      <c r="X16" s="12">
        <v>144179</v>
      </c>
      <c r="Y16" s="12">
        <v>74118</v>
      </c>
      <c r="Z16" s="12">
        <v>22867</v>
      </c>
      <c r="AA16" s="12">
        <v>22881</v>
      </c>
      <c r="AB16" s="12">
        <v>21209</v>
      </c>
      <c r="AC16" s="12">
        <v>75320</v>
      </c>
    </row>
    <row r="17" spans="1:29" x14ac:dyDescent="0.35">
      <c r="A17" s="1" t="s">
        <v>125</v>
      </c>
      <c r="B17" s="1" t="s">
        <v>126</v>
      </c>
      <c r="C17" s="1" t="s">
        <v>433</v>
      </c>
      <c r="D17" s="1" t="s">
        <v>437</v>
      </c>
      <c r="E17" s="10"/>
      <c r="F17" s="10"/>
      <c r="G17" s="10"/>
      <c r="H17" s="10"/>
      <c r="I17" s="10"/>
      <c r="J17" s="10"/>
      <c r="K17" s="10"/>
      <c r="L17" s="10"/>
      <c r="M17" s="10"/>
      <c r="N17" s="10">
        <v>10429</v>
      </c>
      <c r="O17" s="10">
        <v>0</v>
      </c>
      <c r="P17" s="10">
        <v>0</v>
      </c>
      <c r="Q17" s="10">
        <v>0</v>
      </c>
      <c r="R17" s="10">
        <v>76084</v>
      </c>
      <c r="S17" s="10">
        <v>150552</v>
      </c>
      <c r="T17" s="10">
        <v>111835</v>
      </c>
      <c r="U17" s="12">
        <v>96376</v>
      </c>
      <c r="V17" s="12">
        <v>0</v>
      </c>
      <c r="W17" s="12">
        <v>0</v>
      </c>
      <c r="X17" s="12">
        <v>0</v>
      </c>
      <c r="Y17" s="12">
        <v>77800</v>
      </c>
      <c r="Z17" s="12">
        <v>141986</v>
      </c>
      <c r="AA17" s="12">
        <v>77570</v>
      </c>
      <c r="AB17" s="12">
        <v>59565</v>
      </c>
      <c r="AC17" s="12">
        <v>30419</v>
      </c>
    </row>
    <row r="18" spans="1:29" s="7" customFormat="1" x14ac:dyDescent="0.35">
      <c r="A18" s="1" t="s">
        <v>125</v>
      </c>
      <c r="B18" s="1" t="s">
        <v>126</v>
      </c>
      <c r="C18" s="7" t="s">
        <v>433</v>
      </c>
      <c r="D18" s="7" t="s">
        <v>438</v>
      </c>
      <c r="E18" s="10"/>
      <c r="F18" s="14"/>
      <c r="G18" s="14"/>
      <c r="H18" s="14">
        <v>0</v>
      </c>
      <c r="I18" s="14">
        <v>283768</v>
      </c>
      <c r="J18" s="14">
        <v>542779</v>
      </c>
      <c r="K18" s="14">
        <v>209951</v>
      </c>
      <c r="L18" s="14">
        <v>472030</v>
      </c>
      <c r="M18" s="14">
        <v>2314556</v>
      </c>
      <c r="N18" s="14">
        <f t="shared" ref="N18:V18" si="1">SUM(N13:N17)</f>
        <v>10112107</v>
      </c>
      <c r="O18" s="14">
        <f t="shared" si="1"/>
        <v>8936502</v>
      </c>
      <c r="P18" s="14">
        <f t="shared" si="1"/>
        <v>6076788</v>
      </c>
      <c r="Q18" s="14">
        <f t="shared" si="1"/>
        <v>6321735</v>
      </c>
      <c r="R18" s="14">
        <f t="shared" si="1"/>
        <v>26676379</v>
      </c>
      <c r="S18" s="11">
        <f t="shared" si="1"/>
        <v>24852146</v>
      </c>
      <c r="T18" s="14">
        <f t="shared" si="1"/>
        <v>20246512</v>
      </c>
      <c r="U18" s="14">
        <f t="shared" si="1"/>
        <v>16610866</v>
      </c>
      <c r="V18" s="14">
        <f t="shared" si="1"/>
        <v>57505200</v>
      </c>
      <c r="W18" s="11">
        <v>46408723</v>
      </c>
      <c r="X18" s="11">
        <v>35340618</v>
      </c>
      <c r="Y18" s="14">
        <f>SUM(Y13:Y17)</f>
        <v>29387551</v>
      </c>
      <c r="Z18" s="14">
        <f>SUM(Z13:Z17)</f>
        <v>23989566</v>
      </c>
      <c r="AA18" s="14">
        <f>SUM(AA13:AA17)</f>
        <v>19177064</v>
      </c>
      <c r="AB18" s="14">
        <f>SUM(AB13:AB17)</f>
        <v>11067725</v>
      </c>
      <c r="AC18" s="14">
        <f>SUM(AC13:AC17)</f>
        <v>9389010</v>
      </c>
    </row>
    <row r="19" spans="1:29" x14ac:dyDescent="0.35">
      <c r="A19" s="1" t="s">
        <v>125</v>
      </c>
      <c r="B19" s="1" t="s">
        <v>126</v>
      </c>
      <c r="C19" s="1" t="s">
        <v>439</v>
      </c>
      <c r="D19" s="1" t="s">
        <v>440</v>
      </c>
      <c r="E19" s="10"/>
      <c r="F19" s="10"/>
      <c r="G19" s="10"/>
      <c r="H19" s="10"/>
      <c r="I19" s="10"/>
      <c r="J19" s="10"/>
      <c r="K19" s="10"/>
      <c r="L19" s="10"/>
      <c r="M19" s="10"/>
      <c r="N19" s="10">
        <v>8819678</v>
      </c>
      <c r="O19" s="10">
        <v>11289507</v>
      </c>
      <c r="P19" s="10">
        <v>13543507</v>
      </c>
      <c r="Q19" s="10">
        <v>15094108</v>
      </c>
      <c r="R19" s="10">
        <v>18367887</v>
      </c>
      <c r="S19" s="10">
        <v>19509511</v>
      </c>
      <c r="T19" s="10">
        <v>20569916</v>
      </c>
      <c r="U19" s="10">
        <v>34684238</v>
      </c>
      <c r="V19" s="10">
        <v>43067895</v>
      </c>
      <c r="W19" s="10">
        <v>50405403</v>
      </c>
      <c r="X19" s="10">
        <v>58535804</v>
      </c>
      <c r="Y19" s="12">
        <v>57799089</v>
      </c>
      <c r="Z19" s="12">
        <v>63115382</v>
      </c>
      <c r="AA19" s="12">
        <v>64176542</v>
      </c>
      <c r="AB19" s="12">
        <v>71844909</v>
      </c>
      <c r="AC19" s="12">
        <v>74908367</v>
      </c>
    </row>
    <row r="20" spans="1:29" x14ac:dyDescent="0.35">
      <c r="A20" s="1" t="s">
        <v>125</v>
      </c>
      <c r="B20" s="1" t="s">
        <v>126</v>
      </c>
      <c r="C20" s="1" t="s">
        <v>439</v>
      </c>
      <c r="D20" s="1" t="s">
        <v>441</v>
      </c>
      <c r="E20" s="10"/>
      <c r="F20" s="10"/>
      <c r="G20" s="10"/>
      <c r="H20" s="10"/>
      <c r="I20" s="10"/>
      <c r="J20" s="12"/>
      <c r="K20" s="10"/>
      <c r="L20" s="10"/>
      <c r="M20" s="10"/>
      <c r="N20" s="10">
        <v>-1520949</v>
      </c>
      <c r="O20" s="10">
        <v>-1903622</v>
      </c>
      <c r="P20" s="10">
        <v>-2376417</v>
      </c>
      <c r="Q20" s="10">
        <v>-2962761</v>
      </c>
      <c r="R20" s="10">
        <v>-3587846</v>
      </c>
      <c r="S20" s="10">
        <v>-4258962</v>
      </c>
      <c r="T20" s="10">
        <v>-5164324</v>
      </c>
      <c r="U20" s="10">
        <v>-6244764</v>
      </c>
      <c r="V20" s="10">
        <v>-7516037</v>
      </c>
      <c r="W20" s="10">
        <v>-9163292</v>
      </c>
      <c r="X20" s="10">
        <v>-10985980</v>
      </c>
      <c r="Y20" s="12">
        <v>-13516259</v>
      </c>
      <c r="Z20" s="12">
        <v>-16459492</v>
      </c>
      <c r="AA20" s="12">
        <v>-19406174</v>
      </c>
      <c r="AB20" s="12">
        <v>-22711009</v>
      </c>
      <c r="AC20" s="12">
        <v>-26515258</v>
      </c>
    </row>
    <row r="21" spans="1:29" x14ac:dyDescent="0.35">
      <c r="A21" s="1" t="s">
        <v>125</v>
      </c>
      <c r="B21" s="1" t="s">
        <v>126</v>
      </c>
      <c r="C21" s="1" t="s">
        <v>439</v>
      </c>
      <c r="D21" s="1" t="s">
        <v>442</v>
      </c>
      <c r="E21" s="10"/>
      <c r="F21" s="10"/>
      <c r="G21" s="10"/>
      <c r="H21" s="10"/>
      <c r="I21" s="10"/>
      <c r="J21" s="10"/>
      <c r="K21" s="29"/>
      <c r="L21" s="29"/>
      <c r="M21" s="29"/>
      <c r="N21" s="29">
        <f t="shared" ref="N21:AC21" si="2">SUM(N19:N20)</f>
        <v>7298729</v>
      </c>
      <c r="O21" s="29">
        <f t="shared" si="2"/>
        <v>9385885</v>
      </c>
      <c r="P21" s="29">
        <f t="shared" si="2"/>
        <v>11167090</v>
      </c>
      <c r="Q21" s="29">
        <f t="shared" si="2"/>
        <v>12131347</v>
      </c>
      <c r="R21" s="29">
        <f t="shared" si="2"/>
        <v>14780041</v>
      </c>
      <c r="S21" s="31">
        <f t="shared" si="2"/>
        <v>15250549</v>
      </c>
      <c r="T21" s="31">
        <f t="shared" si="2"/>
        <v>15405592</v>
      </c>
      <c r="U21" s="29">
        <f t="shared" si="2"/>
        <v>28439474</v>
      </c>
      <c r="V21" s="29">
        <f t="shared" si="2"/>
        <v>35551858</v>
      </c>
      <c r="W21" s="29">
        <f t="shared" si="2"/>
        <v>41242111</v>
      </c>
      <c r="X21" s="29">
        <f t="shared" si="2"/>
        <v>47549824</v>
      </c>
      <c r="Y21" s="29">
        <f t="shared" si="2"/>
        <v>44282830</v>
      </c>
      <c r="Z21" s="29">
        <f t="shared" si="2"/>
        <v>46655890</v>
      </c>
      <c r="AA21" s="29">
        <f t="shared" si="2"/>
        <v>44770368</v>
      </c>
      <c r="AB21" s="29">
        <f t="shared" si="2"/>
        <v>49133900</v>
      </c>
      <c r="AC21" s="29">
        <f t="shared" si="2"/>
        <v>48393109</v>
      </c>
    </row>
    <row r="22" spans="1:29" x14ac:dyDescent="0.35">
      <c r="A22" s="1" t="s">
        <v>125</v>
      </c>
      <c r="B22" s="1" t="s">
        <v>126</v>
      </c>
      <c r="C22" s="1" t="s">
        <v>439</v>
      </c>
      <c r="D22" s="1" t="s">
        <v>477</v>
      </c>
      <c r="E22" s="10"/>
      <c r="F22" s="10"/>
      <c r="G22" s="10"/>
      <c r="H22" s="10"/>
      <c r="I22" s="1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>
        <v>5987159</v>
      </c>
      <c r="Z22" s="12">
        <v>4284146</v>
      </c>
      <c r="AA22" s="12">
        <v>10492159</v>
      </c>
      <c r="AB22" s="12">
        <v>9902748</v>
      </c>
      <c r="AC22" s="1">
        <v>16580441</v>
      </c>
    </row>
    <row r="23" spans="1:29" s="7" customFormat="1" x14ac:dyDescent="0.35">
      <c r="A23" s="1" t="s">
        <v>125</v>
      </c>
      <c r="B23" s="1" t="s">
        <v>126</v>
      </c>
      <c r="C23" s="7" t="s">
        <v>439</v>
      </c>
      <c r="D23" s="7" t="s">
        <v>443</v>
      </c>
      <c r="E23" s="10"/>
      <c r="F23" s="14"/>
      <c r="G23" s="14"/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f t="shared" ref="N23:AC23" si="3">SUM(N21:N22)</f>
        <v>7298729</v>
      </c>
      <c r="O23" s="14">
        <f t="shared" si="3"/>
        <v>9385885</v>
      </c>
      <c r="P23" s="14">
        <f t="shared" si="3"/>
        <v>11167090</v>
      </c>
      <c r="Q23" s="14">
        <f t="shared" si="3"/>
        <v>12131347</v>
      </c>
      <c r="R23" s="14">
        <f t="shared" si="3"/>
        <v>14780041</v>
      </c>
      <c r="S23" s="14">
        <f t="shared" si="3"/>
        <v>15250549</v>
      </c>
      <c r="T23" s="14">
        <f t="shared" si="3"/>
        <v>15405592</v>
      </c>
      <c r="U23" s="14">
        <f t="shared" si="3"/>
        <v>28439474</v>
      </c>
      <c r="V23" s="14">
        <f t="shared" si="3"/>
        <v>35551858</v>
      </c>
      <c r="W23" s="14">
        <f t="shared" si="3"/>
        <v>41242111</v>
      </c>
      <c r="X23" s="14">
        <f t="shared" si="3"/>
        <v>47549824</v>
      </c>
      <c r="Y23" s="14">
        <f t="shared" si="3"/>
        <v>50269989</v>
      </c>
      <c r="Z23" s="14">
        <f t="shared" si="3"/>
        <v>50940036</v>
      </c>
      <c r="AA23" s="14">
        <f t="shared" si="3"/>
        <v>55262527</v>
      </c>
      <c r="AB23" s="14">
        <f t="shared" si="3"/>
        <v>59036648</v>
      </c>
      <c r="AC23" s="14">
        <f t="shared" si="3"/>
        <v>64973550</v>
      </c>
    </row>
    <row r="24" spans="1:29" s="18" customFormat="1" x14ac:dyDescent="0.35">
      <c r="A24" s="1" t="s">
        <v>125</v>
      </c>
      <c r="B24" s="1" t="s">
        <v>126</v>
      </c>
      <c r="C24" s="18" t="s">
        <v>462</v>
      </c>
      <c r="D24" s="18" t="s">
        <v>463</v>
      </c>
      <c r="E24" s="29"/>
      <c r="F24" s="29"/>
      <c r="G24" s="29"/>
      <c r="H24" s="10" t="s">
        <v>85</v>
      </c>
      <c r="I24" s="10" t="s">
        <v>85</v>
      </c>
      <c r="J24" s="10" t="s">
        <v>85</v>
      </c>
      <c r="K24" s="10" t="s">
        <v>85</v>
      </c>
      <c r="L24" s="10" t="s">
        <v>85</v>
      </c>
      <c r="M24" s="10" t="s">
        <v>85</v>
      </c>
      <c r="N24" s="29">
        <v>10419379</v>
      </c>
      <c r="O24" s="29">
        <v>9173901</v>
      </c>
      <c r="P24" s="29">
        <v>7915910</v>
      </c>
      <c r="Q24" s="29">
        <v>6645282</v>
      </c>
      <c r="R24" s="29">
        <v>5361889</v>
      </c>
      <c r="S24" s="29">
        <v>4065603</v>
      </c>
      <c r="T24" s="29">
        <v>2756295</v>
      </c>
      <c r="U24" s="29">
        <v>1433833</v>
      </c>
      <c r="V24" s="29">
        <v>98086</v>
      </c>
      <c r="W24" s="29">
        <v>0</v>
      </c>
      <c r="X24" s="29">
        <v>0</v>
      </c>
      <c r="Y24" s="10" t="s">
        <v>85</v>
      </c>
      <c r="Z24" s="10" t="s">
        <v>85</v>
      </c>
      <c r="AA24" s="10" t="s">
        <v>85</v>
      </c>
      <c r="AB24" s="10" t="s">
        <v>85</v>
      </c>
      <c r="AC24" s="10" t="s">
        <v>85</v>
      </c>
    </row>
    <row r="25" spans="1:29" s="18" customFormat="1" x14ac:dyDescent="0.35">
      <c r="A25" s="1" t="s">
        <v>125</v>
      </c>
      <c r="B25" s="1" t="s">
        <v>126</v>
      </c>
      <c r="C25" s="18" t="s">
        <v>462</v>
      </c>
      <c r="D25" s="18" t="s">
        <v>464</v>
      </c>
      <c r="E25" s="29"/>
      <c r="F25" s="29"/>
      <c r="G25" s="29"/>
      <c r="H25" s="10" t="s">
        <v>85</v>
      </c>
      <c r="I25" s="10" t="s">
        <v>85</v>
      </c>
      <c r="J25" s="10" t="s">
        <v>85</v>
      </c>
      <c r="K25" s="10" t="s">
        <v>85</v>
      </c>
      <c r="L25" s="10" t="s">
        <v>85</v>
      </c>
      <c r="M25" s="10" t="s">
        <v>85</v>
      </c>
      <c r="N25" s="29">
        <v>454212</v>
      </c>
      <c r="O25" s="29">
        <v>424495</v>
      </c>
      <c r="P25" s="29">
        <v>394778</v>
      </c>
      <c r="Q25" s="29">
        <v>365061</v>
      </c>
      <c r="R25" s="29">
        <v>1025855</v>
      </c>
      <c r="S25" s="29">
        <v>961468</v>
      </c>
      <c r="T25" s="29">
        <v>897081</v>
      </c>
      <c r="U25" s="29">
        <v>832694</v>
      </c>
      <c r="V25" s="29">
        <v>0</v>
      </c>
      <c r="W25" s="29">
        <v>0</v>
      </c>
      <c r="X25" s="29">
        <v>0</v>
      </c>
      <c r="Y25" s="10" t="s">
        <v>85</v>
      </c>
      <c r="Z25" s="10" t="s">
        <v>85</v>
      </c>
      <c r="AA25" s="10" t="s">
        <v>85</v>
      </c>
      <c r="AB25" s="10" t="s">
        <v>85</v>
      </c>
      <c r="AC25" s="10" t="s">
        <v>85</v>
      </c>
    </row>
    <row r="26" spans="1:29" s="18" customFormat="1" x14ac:dyDescent="0.35">
      <c r="A26" s="1" t="s">
        <v>125</v>
      </c>
      <c r="B26" s="1" t="s">
        <v>126</v>
      </c>
      <c r="C26" s="18" t="s">
        <v>462</v>
      </c>
      <c r="D26" s="18" t="s">
        <v>472</v>
      </c>
      <c r="E26" s="29"/>
      <c r="F26" s="29"/>
      <c r="G26" s="29"/>
      <c r="H26" s="10" t="s">
        <v>85</v>
      </c>
      <c r="I26" s="10" t="s">
        <v>85</v>
      </c>
      <c r="J26" s="10" t="s">
        <v>85</v>
      </c>
      <c r="K26" s="10" t="s">
        <v>85</v>
      </c>
      <c r="L26" s="10" t="s">
        <v>85</v>
      </c>
      <c r="M26" s="10" t="s">
        <v>85</v>
      </c>
      <c r="N26" s="10" t="s">
        <v>85</v>
      </c>
      <c r="O26" s="10" t="s">
        <v>85</v>
      </c>
      <c r="P26" s="10" t="s">
        <v>85</v>
      </c>
      <c r="Q26" s="10" t="s">
        <v>85</v>
      </c>
      <c r="R26" s="29">
        <v>0</v>
      </c>
      <c r="S26" s="29">
        <v>0</v>
      </c>
      <c r="T26" s="29">
        <v>0</v>
      </c>
      <c r="U26" s="29">
        <v>1020000</v>
      </c>
      <c r="V26" s="29">
        <v>1020000</v>
      </c>
      <c r="W26" s="29">
        <v>1020000</v>
      </c>
      <c r="X26" s="29">
        <v>1020000</v>
      </c>
      <c r="Y26" s="29">
        <v>1020000</v>
      </c>
      <c r="Z26" s="29">
        <v>1020000</v>
      </c>
      <c r="AA26" s="29">
        <v>1020000</v>
      </c>
      <c r="AB26" s="29">
        <v>1020000</v>
      </c>
      <c r="AC26" s="29">
        <v>951810</v>
      </c>
    </row>
    <row r="27" spans="1:29" s="7" customFormat="1" x14ac:dyDescent="0.35">
      <c r="A27" s="1" t="s">
        <v>125</v>
      </c>
      <c r="B27" s="1" t="s">
        <v>126</v>
      </c>
      <c r="C27" s="7" t="s">
        <v>462</v>
      </c>
      <c r="D27" s="7" t="s">
        <v>465</v>
      </c>
      <c r="E27" s="10"/>
      <c r="F27" s="14"/>
      <c r="G27" s="14"/>
      <c r="H27" s="14" t="s">
        <v>85</v>
      </c>
      <c r="I27" s="14" t="s">
        <v>85</v>
      </c>
      <c r="J27" s="14" t="s">
        <v>85</v>
      </c>
      <c r="K27" s="14" t="s">
        <v>85</v>
      </c>
      <c r="L27" s="14" t="s">
        <v>85</v>
      </c>
      <c r="M27" s="14" t="s">
        <v>85</v>
      </c>
      <c r="N27" s="14">
        <f>SUM(N24:N25)</f>
        <v>10873591</v>
      </c>
      <c r="O27" s="14">
        <f>SUM(O24:O25)</f>
        <v>9598396</v>
      </c>
      <c r="P27" s="14">
        <f>SUM(P24:P25)</f>
        <v>8310688</v>
      </c>
      <c r="Q27" s="14">
        <f>SUM(Q24:Q25)</f>
        <v>7010343</v>
      </c>
      <c r="R27" s="14">
        <f t="shared" ref="R27:AC27" si="4">SUM(R24:R26)</f>
        <v>6387744</v>
      </c>
      <c r="S27" s="14">
        <f t="shared" si="4"/>
        <v>5027071</v>
      </c>
      <c r="T27" s="14">
        <f t="shared" si="4"/>
        <v>3653376</v>
      </c>
      <c r="U27" s="14">
        <f t="shared" si="4"/>
        <v>3286527</v>
      </c>
      <c r="V27" s="14">
        <f t="shared" si="4"/>
        <v>1118086</v>
      </c>
      <c r="W27" s="14">
        <f t="shared" si="4"/>
        <v>1020000</v>
      </c>
      <c r="X27" s="14">
        <f t="shared" si="4"/>
        <v>1020000</v>
      </c>
      <c r="Y27" s="14">
        <f t="shared" si="4"/>
        <v>1020000</v>
      </c>
      <c r="Z27" s="14">
        <f t="shared" si="4"/>
        <v>1020000</v>
      </c>
      <c r="AA27" s="14">
        <f t="shared" si="4"/>
        <v>1020000</v>
      </c>
      <c r="AB27" s="14">
        <f t="shared" si="4"/>
        <v>1020000</v>
      </c>
      <c r="AC27" s="14">
        <f t="shared" si="4"/>
        <v>951810</v>
      </c>
    </row>
    <row r="28" spans="1:29" s="18" customFormat="1" x14ac:dyDescent="0.35">
      <c r="A28" s="1" t="s">
        <v>125</v>
      </c>
      <c r="B28" s="1" t="s">
        <v>126</v>
      </c>
      <c r="C28" s="18" t="s">
        <v>481</v>
      </c>
      <c r="D28" s="18" t="s">
        <v>476</v>
      </c>
      <c r="E28" s="10"/>
      <c r="F28" s="14"/>
      <c r="G28" s="14"/>
      <c r="H28" s="10" t="s">
        <v>85</v>
      </c>
      <c r="I28" s="10" t="s">
        <v>85</v>
      </c>
      <c r="J28" s="10" t="s">
        <v>85</v>
      </c>
      <c r="K28" s="10" t="s">
        <v>85</v>
      </c>
      <c r="L28" s="10" t="s">
        <v>85</v>
      </c>
      <c r="M28" s="10" t="s">
        <v>85</v>
      </c>
      <c r="N28" s="10" t="s">
        <v>85</v>
      </c>
      <c r="O28" s="10" t="s">
        <v>85</v>
      </c>
      <c r="P28" s="10" t="s">
        <v>85</v>
      </c>
      <c r="Q28" s="10" t="s">
        <v>85</v>
      </c>
      <c r="R28" s="10" t="s">
        <v>85</v>
      </c>
      <c r="S28" s="10" t="s">
        <v>85</v>
      </c>
      <c r="T28" s="10" t="s">
        <v>85</v>
      </c>
      <c r="U28" s="10" t="s">
        <v>85</v>
      </c>
      <c r="V28" s="10" t="s">
        <v>85</v>
      </c>
      <c r="W28" s="29" t="s">
        <v>85</v>
      </c>
      <c r="X28" s="29" t="s">
        <v>85</v>
      </c>
      <c r="Y28" s="29">
        <v>0</v>
      </c>
      <c r="Z28" s="29">
        <v>1500668</v>
      </c>
      <c r="AA28" s="29">
        <v>1346286</v>
      </c>
      <c r="AB28" s="29">
        <v>1197798</v>
      </c>
      <c r="AC28" s="29">
        <v>1054979</v>
      </c>
    </row>
    <row r="29" spans="1:29" s="7" customFormat="1" x14ac:dyDescent="0.35">
      <c r="A29" s="1" t="s">
        <v>125</v>
      </c>
      <c r="B29" s="1" t="s">
        <v>126</v>
      </c>
      <c r="C29" s="7" t="s">
        <v>432</v>
      </c>
      <c r="D29" s="7" t="s">
        <v>432</v>
      </c>
      <c r="E29" s="10"/>
      <c r="F29" s="15"/>
      <c r="G29" s="15"/>
      <c r="H29" s="15">
        <f t="shared" ref="H29:M29" si="5">H23+H18+H12</f>
        <v>4843435</v>
      </c>
      <c r="I29" s="15">
        <f t="shared" si="5"/>
        <v>7662710</v>
      </c>
      <c r="J29" s="15">
        <f t="shared" si="5"/>
        <v>9709456</v>
      </c>
      <c r="K29" s="15">
        <f t="shared" si="5"/>
        <v>8635467</v>
      </c>
      <c r="L29" s="30">
        <f t="shared" si="5"/>
        <v>15789211</v>
      </c>
      <c r="M29" s="15">
        <f t="shared" si="5"/>
        <v>14553203</v>
      </c>
      <c r="N29" s="15">
        <f t="shared" ref="N29:X29" si="6">N27+N23+N18+N12</f>
        <v>31867380</v>
      </c>
      <c r="O29" s="15">
        <f t="shared" si="6"/>
        <v>30708071</v>
      </c>
      <c r="P29" s="15">
        <f t="shared" si="6"/>
        <v>28801924</v>
      </c>
      <c r="Q29" s="15">
        <f t="shared" si="6"/>
        <v>29473464</v>
      </c>
      <c r="R29" s="15">
        <f t="shared" si="6"/>
        <v>58887750</v>
      </c>
      <c r="S29" s="30">
        <f t="shared" si="6"/>
        <v>55864208</v>
      </c>
      <c r="T29" s="30">
        <f t="shared" si="6"/>
        <v>50267584</v>
      </c>
      <c r="U29" s="15">
        <f t="shared" si="6"/>
        <v>59319935</v>
      </c>
      <c r="V29" s="15">
        <f t="shared" si="6"/>
        <v>104200263</v>
      </c>
      <c r="W29" s="15">
        <f t="shared" si="6"/>
        <v>104634377</v>
      </c>
      <c r="X29" s="15">
        <f t="shared" si="6"/>
        <v>103667832</v>
      </c>
      <c r="Y29" s="15">
        <f>Y27+Y23+Y18+Y12+Y28</f>
        <v>102198920</v>
      </c>
      <c r="Z29" s="15">
        <f>Z27+Z23+Z18+Z12+Z28</f>
        <v>97616721</v>
      </c>
      <c r="AA29" s="15">
        <f>AA27+AA23+AA18+AA12+AA28</f>
        <v>97420788</v>
      </c>
      <c r="AB29" s="15">
        <f>AB27+AB23+AB18+AB12+AB28</f>
        <v>96693742</v>
      </c>
      <c r="AC29" s="15">
        <f>AC27+AC23+AC18+AC12+AC28</f>
        <v>102255546</v>
      </c>
    </row>
    <row r="30" spans="1:29" s="18" customFormat="1" x14ac:dyDescent="0.35">
      <c r="A30" s="1" t="s">
        <v>125</v>
      </c>
      <c r="B30" s="1" t="s">
        <v>126</v>
      </c>
      <c r="C30" s="1" t="s">
        <v>444</v>
      </c>
      <c r="D30" s="1" t="s">
        <v>445</v>
      </c>
      <c r="E30" s="10"/>
      <c r="F30" s="16"/>
      <c r="G30" s="16"/>
      <c r="H30" s="16">
        <v>150473</v>
      </c>
      <c r="I30" s="16">
        <v>349745</v>
      </c>
      <c r="J30" s="16">
        <v>1262396</v>
      </c>
      <c r="K30" s="16">
        <v>704619</v>
      </c>
      <c r="L30" s="16">
        <v>300439</v>
      </c>
      <c r="M30" s="16">
        <v>608885</v>
      </c>
      <c r="N30" s="16">
        <v>174194</v>
      </c>
      <c r="O30" s="16">
        <v>523557</v>
      </c>
      <c r="P30" s="16">
        <v>532788</v>
      </c>
      <c r="Q30" s="16">
        <v>478771</v>
      </c>
      <c r="R30" s="16">
        <v>268290</v>
      </c>
      <c r="S30" s="16">
        <v>91255</v>
      </c>
      <c r="T30" s="16">
        <v>591669</v>
      </c>
      <c r="U30" s="16">
        <v>1884112</v>
      </c>
      <c r="V30" s="16">
        <v>1236034</v>
      </c>
      <c r="W30" s="16">
        <v>2126187</v>
      </c>
      <c r="X30" s="16">
        <v>1174419</v>
      </c>
      <c r="Y30" s="16">
        <f>526657+2318141</f>
        <v>2844798</v>
      </c>
      <c r="Z30" s="16">
        <f>276728+498998</f>
        <v>775726</v>
      </c>
      <c r="AA30" s="16">
        <f>1076056+278930</f>
        <v>1354986</v>
      </c>
      <c r="AB30" s="16">
        <f>432950+332434</f>
        <v>765384</v>
      </c>
      <c r="AC30" s="18">
        <f>2277733+768318</f>
        <v>3046051</v>
      </c>
    </row>
    <row r="31" spans="1:29" s="18" customFormat="1" x14ac:dyDescent="0.35">
      <c r="A31" s="1" t="s">
        <v>125</v>
      </c>
      <c r="B31" s="1" t="s">
        <v>126</v>
      </c>
      <c r="C31" s="1" t="s">
        <v>444</v>
      </c>
      <c r="D31" s="1" t="s">
        <v>466</v>
      </c>
      <c r="E31" s="10"/>
      <c r="F31" s="16"/>
      <c r="G31" s="16"/>
      <c r="H31" s="12" t="s">
        <v>85</v>
      </c>
      <c r="I31" s="12" t="s">
        <v>85</v>
      </c>
      <c r="J31" s="12" t="s">
        <v>85</v>
      </c>
      <c r="K31" s="12" t="s">
        <v>85</v>
      </c>
      <c r="L31" s="12" t="s">
        <v>85</v>
      </c>
      <c r="M31" s="12" t="s">
        <v>85</v>
      </c>
      <c r="N31" s="16">
        <v>581904</v>
      </c>
      <c r="O31" s="16">
        <v>1022578</v>
      </c>
      <c r="P31" s="16">
        <v>1205164</v>
      </c>
      <c r="Q31" s="16">
        <v>1449098</v>
      </c>
      <c r="R31" s="16">
        <v>1252117</v>
      </c>
      <c r="S31" s="16">
        <v>1253482</v>
      </c>
      <c r="T31" s="16">
        <v>0</v>
      </c>
      <c r="U31" s="16">
        <v>0</v>
      </c>
      <c r="V31" s="16">
        <v>0</v>
      </c>
      <c r="W31" s="16">
        <v>366864</v>
      </c>
      <c r="X31" s="16">
        <v>0</v>
      </c>
      <c r="Y31" s="16">
        <v>441521</v>
      </c>
      <c r="Z31" s="16">
        <v>70457</v>
      </c>
      <c r="AA31" s="16">
        <v>289680</v>
      </c>
      <c r="AB31" s="16">
        <v>204144</v>
      </c>
      <c r="AC31" s="18">
        <v>23300</v>
      </c>
    </row>
    <row r="32" spans="1:29" s="18" customFormat="1" x14ac:dyDescent="0.35">
      <c r="A32" s="1" t="s">
        <v>125</v>
      </c>
      <c r="B32" s="1" t="s">
        <v>126</v>
      </c>
      <c r="C32" s="1" t="s">
        <v>444</v>
      </c>
      <c r="D32" s="1" t="s">
        <v>446</v>
      </c>
      <c r="E32" s="10"/>
      <c r="F32" s="16"/>
      <c r="G32" s="16"/>
      <c r="H32" s="16">
        <v>122520</v>
      </c>
      <c r="I32" s="16">
        <v>176558</v>
      </c>
      <c r="J32" s="16">
        <v>27220</v>
      </c>
      <c r="K32" s="16">
        <v>224027</v>
      </c>
      <c r="L32" s="16">
        <v>57402</v>
      </c>
      <c r="M32" s="16">
        <v>114807</v>
      </c>
      <c r="N32" s="16">
        <v>251</v>
      </c>
      <c r="O32" s="16">
        <v>458</v>
      </c>
      <c r="P32" s="16">
        <v>717</v>
      </c>
      <c r="Q32" s="16">
        <v>728</v>
      </c>
      <c r="R32" s="16">
        <v>117830</v>
      </c>
      <c r="S32" s="16">
        <v>110052</v>
      </c>
      <c r="T32" s="16">
        <v>109516</v>
      </c>
      <c r="U32" s="16">
        <v>114079</v>
      </c>
      <c r="V32" s="16">
        <f>208365+54579</f>
        <v>262944</v>
      </c>
      <c r="W32" s="16">
        <f>324800+59724</f>
        <v>384524</v>
      </c>
      <c r="X32" s="16">
        <f>442430+323233</f>
        <v>765663</v>
      </c>
      <c r="Y32" s="16">
        <v>321640</v>
      </c>
      <c r="Z32" s="16">
        <v>300208</v>
      </c>
      <c r="AA32" s="16">
        <v>303461</v>
      </c>
      <c r="AB32" s="16">
        <v>301130</v>
      </c>
      <c r="AC32" s="18">
        <v>299235</v>
      </c>
    </row>
    <row r="33" spans="1:29" s="18" customFormat="1" x14ac:dyDescent="0.35">
      <c r="A33" s="1" t="s">
        <v>125</v>
      </c>
      <c r="B33" s="1" t="s">
        <v>126</v>
      </c>
      <c r="C33" s="1" t="s">
        <v>444</v>
      </c>
      <c r="D33" s="1" t="s">
        <v>473</v>
      </c>
      <c r="E33" s="10"/>
      <c r="F33" s="16"/>
      <c r="G33" s="16"/>
      <c r="H33" s="16">
        <v>1970725</v>
      </c>
      <c r="I33" s="16">
        <v>2813875</v>
      </c>
      <c r="J33" s="16">
        <v>3943437</v>
      </c>
      <c r="K33" s="16">
        <v>3246684</v>
      </c>
      <c r="L33" s="16">
        <v>14139559</v>
      </c>
      <c r="M33" s="16">
        <v>11350374</v>
      </c>
      <c r="N33" s="12" t="s">
        <v>85</v>
      </c>
      <c r="O33" s="12" t="s">
        <v>85</v>
      </c>
      <c r="P33" s="12" t="s">
        <v>85</v>
      </c>
      <c r="Q33" s="12" t="s">
        <v>85</v>
      </c>
      <c r="R33" s="12" t="s">
        <v>85</v>
      </c>
      <c r="S33" s="16">
        <v>1748544</v>
      </c>
      <c r="T33" s="16">
        <v>1782478</v>
      </c>
      <c r="U33" s="16">
        <v>2479300</v>
      </c>
      <c r="V33" s="16">
        <v>2841098</v>
      </c>
      <c r="W33" s="16">
        <v>2894496</v>
      </c>
      <c r="X33" s="16">
        <v>2913988</v>
      </c>
      <c r="Y33" s="16">
        <v>3247525</v>
      </c>
      <c r="Z33" s="16">
        <v>3103859</v>
      </c>
      <c r="AA33" s="16">
        <v>3320390</v>
      </c>
      <c r="AB33" s="16">
        <v>3395152</v>
      </c>
      <c r="AC33" s="18">
        <v>3362113</v>
      </c>
    </row>
    <row r="34" spans="1:29" s="18" customFormat="1" x14ac:dyDescent="0.35">
      <c r="A34" s="1" t="s">
        <v>125</v>
      </c>
      <c r="B34" s="1" t="s">
        <v>126</v>
      </c>
      <c r="C34" s="1" t="s">
        <v>444</v>
      </c>
      <c r="D34" s="1" t="s">
        <v>478</v>
      </c>
      <c r="E34" s="10"/>
      <c r="F34" s="16"/>
      <c r="G34" s="16"/>
      <c r="H34" s="10" t="s">
        <v>85</v>
      </c>
      <c r="I34" s="10" t="s">
        <v>85</v>
      </c>
      <c r="J34" s="10" t="s">
        <v>85</v>
      </c>
      <c r="K34" s="10" t="s">
        <v>85</v>
      </c>
      <c r="L34" s="10" t="s">
        <v>85</v>
      </c>
      <c r="M34" s="10" t="s">
        <v>85</v>
      </c>
      <c r="N34" s="10" t="s">
        <v>85</v>
      </c>
      <c r="O34" s="10" t="s">
        <v>85</v>
      </c>
      <c r="P34" s="10" t="s">
        <v>85</v>
      </c>
      <c r="Q34" s="10" t="s">
        <v>85</v>
      </c>
      <c r="R34" s="10" t="s">
        <v>85</v>
      </c>
      <c r="S34" s="10" t="s">
        <v>85</v>
      </c>
      <c r="T34" s="10" t="s">
        <v>85</v>
      </c>
      <c r="U34" s="10" t="s">
        <v>85</v>
      </c>
      <c r="V34" s="10" t="s">
        <v>85</v>
      </c>
      <c r="W34" s="10" t="s">
        <v>85</v>
      </c>
      <c r="X34" s="10" t="s">
        <v>85</v>
      </c>
      <c r="Y34" s="16">
        <v>496443</v>
      </c>
      <c r="Z34" s="16">
        <v>567245</v>
      </c>
      <c r="AA34" s="16">
        <v>588602</v>
      </c>
      <c r="AB34" s="16">
        <v>575619</v>
      </c>
      <c r="AC34" s="18">
        <v>732885</v>
      </c>
    </row>
    <row r="35" spans="1:29" s="18" customFormat="1" x14ac:dyDescent="0.35">
      <c r="A35" s="1" t="s">
        <v>125</v>
      </c>
      <c r="B35" s="1" t="s">
        <v>126</v>
      </c>
      <c r="C35" s="1" t="s">
        <v>444</v>
      </c>
      <c r="D35" s="1" t="s">
        <v>479</v>
      </c>
      <c r="E35" s="10"/>
      <c r="F35" s="16"/>
      <c r="G35" s="16"/>
      <c r="H35" s="10" t="s">
        <v>85</v>
      </c>
      <c r="I35" s="10" t="s">
        <v>85</v>
      </c>
      <c r="J35" s="10" t="s">
        <v>85</v>
      </c>
      <c r="K35" s="10" t="s">
        <v>85</v>
      </c>
      <c r="L35" s="10" t="s">
        <v>85</v>
      </c>
      <c r="M35" s="10" t="s">
        <v>85</v>
      </c>
      <c r="N35" s="10" t="s">
        <v>85</v>
      </c>
      <c r="O35" s="10" t="s">
        <v>85</v>
      </c>
      <c r="P35" s="10" t="s">
        <v>85</v>
      </c>
      <c r="Q35" s="10" t="s">
        <v>85</v>
      </c>
      <c r="R35" s="10" t="s">
        <v>85</v>
      </c>
      <c r="S35" s="10" t="s">
        <v>85</v>
      </c>
      <c r="T35" s="10" t="s">
        <v>85</v>
      </c>
      <c r="U35" s="10" t="s">
        <v>85</v>
      </c>
      <c r="V35" s="10" t="s">
        <v>85</v>
      </c>
      <c r="W35" s="10" t="s">
        <v>85</v>
      </c>
      <c r="X35" s="10" t="s">
        <v>85</v>
      </c>
      <c r="Y35" s="16">
        <v>77800</v>
      </c>
      <c r="Z35" s="16">
        <v>141986</v>
      </c>
      <c r="AA35" s="16">
        <v>77570</v>
      </c>
      <c r="AB35" s="16">
        <v>59565</v>
      </c>
      <c r="AC35" s="18">
        <v>30419</v>
      </c>
    </row>
    <row r="36" spans="1:29" s="18" customFormat="1" x14ac:dyDescent="0.35">
      <c r="A36" s="1" t="s">
        <v>125</v>
      </c>
      <c r="B36" s="1" t="s">
        <v>126</v>
      </c>
      <c r="C36" s="1" t="s">
        <v>444</v>
      </c>
      <c r="D36" s="1" t="s">
        <v>468</v>
      </c>
      <c r="E36" s="10"/>
      <c r="F36" s="29"/>
      <c r="G36" s="29"/>
      <c r="H36" s="10" t="s">
        <v>85</v>
      </c>
      <c r="I36" s="10" t="s">
        <v>85</v>
      </c>
      <c r="J36" s="10" t="s">
        <v>85</v>
      </c>
      <c r="K36" s="10" t="s">
        <v>85</v>
      </c>
      <c r="L36" s="10" t="s">
        <v>85</v>
      </c>
      <c r="M36" s="10" t="s">
        <v>85</v>
      </c>
      <c r="N36" s="29">
        <v>68112</v>
      </c>
      <c r="O36" s="29">
        <v>71619</v>
      </c>
      <c r="P36" s="29">
        <v>75223</v>
      </c>
      <c r="Q36" s="29">
        <v>79008</v>
      </c>
      <c r="R36" s="29">
        <v>82943</v>
      </c>
      <c r="S36" s="29">
        <v>0</v>
      </c>
      <c r="T36" s="16">
        <v>0</v>
      </c>
      <c r="U36" s="16">
        <v>0</v>
      </c>
      <c r="V36" s="12" t="s">
        <v>85</v>
      </c>
      <c r="W36" s="12" t="s">
        <v>85</v>
      </c>
      <c r="X36" s="12" t="s">
        <v>85</v>
      </c>
      <c r="Y36" s="12" t="s">
        <v>85</v>
      </c>
      <c r="Z36" s="12" t="s">
        <v>85</v>
      </c>
      <c r="AA36" s="12" t="s">
        <v>85</v>
      </c>
      <c r="AB36" s="12" t="s">
        <v>85</v>
      </c>
      <c r="AC36" s="12" t="s">
        <v>85</v>
      </c>
    </row>
    <row r="37" spans="1:29" s="18" customFormat="1" x14ac:dyDescent="0.35">
      <c r="A37" s="1" t="s">
        <v>125</v>
      </c>
      <c r="B37" s="1" t="s">
        <v>126</v>
      </c>
      <c r="C37" s="1" t="s">
        <v>444</v>
      </c>
      <c r="D37" s="1" t="s">
        <v>467</v>
      </c>
      <c r="E37" s="10"/>
      <c r="F37" s="29"/>
      <c r="G37" s="29"/>
      <c r="H37" s="10" t="s">
        <v>85</v>
      </c>
      <c r="I37" s="10" t="s">
        <v>85</v>
      </c>
      <c r="J37" s="10" t="s">
        <v>85</v>
      </c>
      <c r="K37" s="10" t="s">
        <v>85</v>
      </c>
      <c r="L37" s="10" t="s">
        <v>85</v>
      </c>
      <c r="M37" s="10" t="s">
        <v>85</v>
      </c>
      <c r="N37" s="29">
        <v>175000</v>
      </c>
      <c r="O37" s="29">
        <v>180000</v>
      </c>
      <c r="P37" s="29">
        <v>180000</v>
      </c>
      <c r="Q37" s="29">
        <v>185000</v>
      </c>
      <c r="R37" s="29">
        <v>190000</v>
      </c>
      <c r="S37" s="29">
        <v>0</v>
      </c>
      <c r="T37" s="16">
        <v>0</v>
      </c>
      <c r="U37" s="16">
        <v>0</v>
      </c>
      <c r="V37" s="12" t="s">
        <v>85</v>
      </c>
      <c r="W37" s="12" t="s">
        <v>85</v>
      </c>
      <c r="X37" s="12" t="s">
        <v>85</v>
      </c>
      <c r="Y37" s="12" t="s">
        <v>85</v>
      </c>
      <c r="Z37" s="12" t="s">
        <v>85</v>
      </c>
      <c r="AA37" s="12" t="s">
        <v>85</v>
      </c>
      <c r="AB37" s="12" t="s">
        <v>85</v>
      </c>
      <c r="AC37" s="12" t="s">
        <v>85</v>
      </c>
    </row>
    <row r="38" spans="1:29" s="18" customFormat="1" x14ac:dyDescent="0.35">
      <c r="A38" s="1" t="s">
        <v>125</v>
      </c>
      <c r="B38" s="1" t="s">
        <v>126</v>
      </c>
      <c r="C38" s="1" t="s">
        <v>444</v>
      </c>
      <c r="D38" s="1" t="s">
        <v>469</v>
      </c>
      <c r="E38" s="10"/>
      <c r="F38" s="29"/>
      <c r="G38" s="29"/>
      <c r="H38" s="10" t="s">
        <v>85</v>
      </c>
      <c r="I38" s="10" t="s">
        <v>85</v>
      </c>
      <c r="J38" s="10" t="s">
        <v>85</v>
      </c>
      <c r="K38" s="10" t="s">
        <v>85</v>
      </c>
      <c r="L38" s="10" t="s">
        <v>85</v>
      </c>
      <c r="M38" s="10" t="s">
        <v>85</v>
      </c>
      <c r="N38" s="29">
        <v>1374147</v>
      </c>
      <c r="O38" s="29">
        <v>1391898</v>
      </c>
      <c r="P38" s="29">
        <v>1409986</v>
      </c>
      <c r="Q38" s="29">
        <v>1428424</v>
      </c>
      <c r="R38" s="29">
        <v>1447222</v>
      </c>
      <c r="S38" s="29">
        <v>0</v>
      </c>
      <c r="T38" s="16">
        <v>0</v>
      </c>
      <c r="U38" s="16">
        <v>0</v>
      </c>
      <c r="V38" s="12" t="s">
        <v>85</v>
      </c>
      <c r="W38" s="12" t="s">
        <v>85</v>
      </c>
      <c r="X38" s="12" t="s">
        <v>85</v>
      </c>
      <c r="Y38" s="12" t="s">
        <v>85</v>
      </c>
      <c r="Z38" s="12" t="s">
        <v>85</v>
      </c>
      <c r="AA38" s="12" t="s">
        <v>85</v>
      </c>
      <c r="AB38" s="12" t="s">
        <v>85</v>
      </c>
      <c r="AC38" s="12" t="s">
        <v>85</v>
      </c>
    </row>
    <row r="39" spans="1:29" s="18" customFormat="1" x14ac:dyDescent="0.35">
      <c r="A39" s="1" t="s">
        <v>125</v>
      </c>
      <c r="B39" s="1" t="s">
        <v>126</v>
      </c>
      <c r="C39" s="1" t="s">
        <v>444</v>
      </c>
      <c r="D39" s="1" t="s">
        <v>459</v>
      </c>
      <c r="E39" s="10"/>
      <c r="F39" s="10"/>
      <c r="G39" s="10"/>
      <c r="H39" s="10">
        <v>2213263</v>
      </c>
      <c r="I39" s="10">
        <v>2044146</v>
      </c>
      <c r="J39" s="10">
        <v>2814134</v>
      </c>
      <c r="K39" s="10">
        <v>2187405</v>
      </c>
      <c r="L39" s="10">
        <v>1509343</v>
      </c>
      <c r="M39" s="10">
        <v>1533824</v>
      </c>
      <c r="N39" s="10" t="s">
        <v>85</v>
      </c>
      <c r="O39" s="10" t="s">
        <v>85</v>
      </c>
      <c r="P39" s="10" t="s">
        <v>85</v>
      </c>
      <c r="Q39" s="10" t="s">
        <v>85</v>
      </c>
      <c r="R39" s="10" t="s">
        <v>85</v>
      </c>
      <c r="S39" s="10" t="s">
        <v>85</v>
      </c>
      <c r="T39" s="10" t="s">
        <v>85</v>
      </c>
      <c r="U39" s="10" t="s">
        <v>85</v>
      </c>
      <c r="V39" s="16">
        <v>0</v>
      </c>
      <c r="W39" s="16">
        <v>13884</v>
      </c>
      <c r="X39" s="16">
        <v>10061</v>
      </c>
      <c r="Y39" s="12" t="s">
        <v>85</v>
      </c>
      <c r="Z39" s="12" t="s">
        <v>85</v>
      </c>
      <c r="AA39" s="12" t="s">
        <v>85</v>
      </c>
      <c r="AB39" s="12" t="s">
        <v>85</v>
      </c>
      <c r="AC39" s="12" t="s">
        <v>85</v>
      </c>
    </row>
    <row r="40" spans="1:29" s="18" customFormat="1" x14ac:dyDescent="0.35">
      <c r="A40" s="1" t="s">
        <v>125</v>
      </c>
      <c r="B40" s="1" t="s">
        <v>126</v>
      </c>
      <c r="C40" s="1" t="s">
        <v>444</v>
      </c>
      <c r="D40" s="1" t="s">
        <v>458</v>
      </c>
      <c r="E40" s="10"/>
      <c r="F40" s="10"/>
      <c r="G40" s="10"/>
      <c r="H40" s="10">
        <v>0</v>
      </c>
      <c r="I40" s="10">
        <v>154047</v>
      </c>
      <c r="J40" s="29">
        <v>140372</v>
      </c>
      <c r="K40" s="10">
        <v>116908</v>
      </c>
      <c r="L40" s="10">
        <v>0</v>
      </c>
      <c r="M40" s="10">
        <v>0</v>
      </c>
      <c r="N40" s="10" t="s">
        <v>85</v>
      </c>
      <c r="O40" s="10" t="s">
        <v>85</v>
      </c>
      <c r="P40" s="10" t="s">
        <v>85</v>
      </c>
      <c r="Q40" s="10" t="s">
        <v>85</v>
      </c>
      <c r="R40" s="10" t="s">
        <v>85</v>
      </c>
      <c r="S40" s="10" t="s">
        <v>85</v>
      </c>
      <c r="T40" s="10" t="s">
        <v>85</v>
      </c>
      <c r="U40" s="10" t="s">
        <v>85</v>
      </c>
      <c r="V40" s="10" t="s">
        <v>85</v>
      </c>
      <c r="W40" s="10" t="s">
        <v>85</v>
      </c>
      <c r="X40" s="10" t="s">
        <v>85</v>
      </c>
      <c r="Y40" s="12" t="s">
        <v>85</v>
      </c>
      <c r="Z40" s="12" t="s">
        <v>85</v>
      </c>
      <c r="AA40" s="12" t="s">
        <v>85</v>
      </c>
      <c r="AB40" s="12" t="s">
        <v>85</v>
      </c>
      <c r="AC40" s="12" t="s">
        <v>85</v>
      </c>
    </row>
    <row r="41" spans="1:29" s="18" customFormat="1" x14ac:dyDescent="0.35">
      <c r="A41" s="1" t="s">
        <v>125</v>
      </c>
      <c r="B41" s="1" t="s">
        <v>126</v>
      </c>
      <c r="C41" s="1" t="s">
        <v>444</v>
      </c>
      <c r="D41" s="1" t="s">
        <v>64</v>
      </c>
      <c r="E41" s="10"/>
      <c r="F41" s="10"/>
      <c r="G41" s="10"/>
      <c r="H41" s="10">
        <v>329303</v>
      </c>
      <c r="I41" s="10">
        <v>240400</v>
      </c>
      <c r="J41" s="29">
        <v>300326</v>
      </c>
      <c r="K41" s="10">
        <v>373343</v>
      </c>
      <c r="L41" s="10">
        <v>410328</v>
      </c>
      <c r="M41" s="10">
        <v>414800</v>
      </c>
      <c r="N41" s="10" t="s">
        <v>85</v>
      </c>
      <c r="O41" s="10" t="s">
        <v>85</v>
      </c>
      <c r="P41" s="10" t="s">
        <v>85</v>
      </c>
      <c r="Q41" s="10" t="s">
        <v>85</v>
      </c>
      <c r="R41" s="10">
        <v>75388</v>
      </c>
      <c r="S41" s="10">
        <v>147779</v>
      </c>
      <c r="T41" s="10">
        <v>108606</v>
      </c>
      <c r="U41" s="10">
        <v>92808</v>
      </c>
      <c r="V41" s="10">
        <v>57061</v>
      </c>
      <c r="W41" s="10">
        <v>60290</v>
      </c>
      <c r="X41" s="10">
        <v>77921</v>
      </c>
      <c r="Y41" s="10">
        <v>488</v>
      </c>
      <c r="Z41" s="10">
        <v>1318</v>
      </c>
      <c r="AA41" s="10">
        <v>1855</v>
      </c>
      <c r="AB41" s="12">
        <v>3798</v>
      </c>
      <c r="AC41" s="18">
        <v>2255</v>
      </c>
    </row>
    <row r="42" spans="1:29" s="18" customFormat="1" x14ac:dyDescent="0.35">
      <c r="A42" s="1" t="s">
        <v>125</v>
      </c>
      <c r="B42" s="1" t="s">
        <v>126</v>
      </c>
      <c r="C42" s="7" t="s">
        <v>444</v>
      </c>
      <c r="D42" s="7" t="s">
        <v>447</v>
      </c>
      <c r="E42" s="10"/>
      <c r="F42" s="15"/>
      <c r="G42" s="15"/>
      <c r="H42" s="15">
        <f t="shared" ref="H42:M42" si="7">SUM(H30:H41)</f>
        <v>4786284</v>
      </c>
      <c r="I42" s="15">
        <f t="shared" si="7"/>
        <v>5778771</v>
      </c>
      <c r="J42" s="15">
        <f t="shared" si="7"/>
        <v>8487885</v>
      </c>
      <c r="K42" s="15">
        <f t="shared" si="7"/>
        <v>6852986</v>
      </c>
      <c r="L42" s="15">
        <f t="shared" si="7"/>
        <v>16417071</v>
      </c>
      <c r="M42" s="15">
        <f t="shared" si="7"/>
        <v>14022690</v>
      </c>
      <c r="N42" s="15">
        <f t="shared" ref="N42:U42" si="8">SUM(N30:N41)</f>
        <v>2373608</v>
      </c>
      <c r="O42" s="15">
        <f t="shared" si="8"/>
        <v>3190110</v>
      </c>
      <c r="P42" s="15">
        <f t="shared" si="8"/>
        <v>3403878</v>
      </c>
      <c r="Q42" s="15">
        <f t="shared" si="8"/>
        <v>3621029</v>
      </c>
      <c r="R42" s="15">
        <f>SUM(R30:R41)</f>
        <v>3433790</v>
      </c>
      <c r="S42" s="15">
        <f t="shared" si="8"/>
        <v>3351112</v>
      </c>
      <c r="T42" s="15">
        <f t="shared" si="8"/>
        <v>2592269</v>
      </c>
      <c r="U42" s="15">
        <f t="shared" si="8"/>
        <v>4570299</v>
      </c>
      <c r="V42" s="15">
        <f t="shared" ref="V42" si="9">SUM(V30:V41)</f>
        <v>4397137</v>
      </c>
      <c r="W42" s="15">
        <f t="shared" ref="W42" si="10">SUM(W30:W41)</f>
        <v>5846245</v>
      </c>
      <c r="X42" s="15">
        <f t="shared" ref="X42" si="11">SUM(X30:X41)</f>
        <v>4942052</v>
      </c>
      <c r="Y42" s="15">
        <f t="shared" ref="Y42:AC42" si="12">SUM(Y30:Y41)</f>
        <v>7430215</v>
      </c>
      <c r="Z42" s="15">
        <f t="shared" si="12"/>
        <v>4960799</v>
      </c>
      <c r="AA42" s="15">
        <f t="shared" si="12"/>
        <v>5936544</v>
      </c>
      <c r="AB42" s="15">
        <f t="shared" si="12"/>
        <v>5304792</v>
      </c>
      <c r="AC42" s="15">
        <f t="shared" si="12"/>
        <v>7496258</v>
      </c>
    </row>
    <row r="43" spans="1:29" s="18" customFormat="1" x14ac:dyDescent="0.35">
      <c r="A43" s="1" t="s">
        <v>125</v>
      </c>
      <c r="B43" s="1" t="s">
        <v>126</v>
      </c>
      <c r="C43" s="1" t="s">
        <v>448</v>
      </c>
      <c r="D43" s="1" t="s">
        <v>449</v>
      </c>
      <c r="E43" s="10"/>
      <c r="F43" s="29"/>
      <c r="G43" s="29"/>
      <c r="H43" s="10" t="s">
        <v>85</v>
      </c>
      <c r="I43" s="10" t="s">
        <v>85</v>
      </c>
      <c r="J43" s="10" t="s">
        <v>85</v>
      </c>
      <c r="K43" s="10" t="s">
        <v>85</v>
      </c>
      <c r="L43" s="10" t="s">
        <v>85</v>
      </c>
      <c r="M43" s="10" t="s">
        <v>85</v>
      </c>
      <c r="N43" s="10">
        <v>23880000</v>
      </c>
      <c r="O43" s="10">
        <v>23700000</v>
      </c>
      <c r="P43" s="10">
        <v>23520000</v>
      </c>
      <c r="Q43" s="10">
        <v>23335000</v>
      </c>
      <c r="R43" s="10">
        <v>48145000</v>
      </c>
      <c r="S43" s="10" t="s">
        <v>85</v>
      </c>
      <c r="T43" s="10" t="s">
        <v>85</v>
      </c>
      <c r="U43" s="10" t="s">
        <v>85</v>
      </c>
      <c r="V43" s="10" t="s">
        <v>85</v>
      </c>
      <c r="W43" s="10" t="s">
        <v>85</v>
      </c>
      <c r="X43" s="10" t="s">
        <v>85</v>
      </c>
      <c r="Y43" s="10" t="s">
        <v>85</v>
      </c>
      <c r="Z43" s="10" t="s">
        <v>85</v>
      </c>
      <c r="AA43" s="10" t="s">
        <v>85</v>
      </c>
      <c r="AB43" s="10" t="s">
        <v>85</v>
      </c>
      <c r="AC43" s="10" t="s">
        <v>85</v>
      </c>
    </row>
    <row r="44" spans="1:29" s="18" customFormat="1" x14ac:dyDescent="0.35">
      <c r="A44" s="1" t="s">
        <v>125</v>
      </c>
      <c r="B44" s="1" t="s">
        <v>126</v>
      </c>
      <c r="C44" s="1" t="s">
        <v>448</v>
      </c>
      <c r="D44" s="1" t="s">
        <v>469</v>
      </c>
      <c r="E44" s="10"/>
      <c r="F44" s="16"/>
      <c r="G44" s="16"/>
      <c r="H44" s="10" t="s">
        <v>85</v>
      </c>
      <c r="I44" s="10" t="s">
        <v>85</v>
      </c>
      <c r="J44" s="10" t="s">
        <v>85</v>
      </c>
      <c r="K44" s="10" t="s">
        <v>85</v>
      </c>
      <c r="L44" s="10" t="s">
        <v>85</v>
      </c>
      <c r="M44" s="10" t="s">
        <v>85</v>
      </c>
      <c r="N44" s="10">
        <v>11410328</v>
      </c>
      <c r="O44" s="10">
        <v>10018430</v>
      </c>
      <c r="P44" s="10">
        <v>8608445</v>
      </c>
      <c r="Q44" s="10">
        <v>7180020</v>
      </c>
      <c r="R44" s="10">
        <v>5732799</v>
      </c>
      <c r="S44" s="10" t="s">
        <v>85</v>
      </c>
      <c r="T44" s="10" t="s">
        <v>85</v>
      </c>
      <c r="U44" s="10" t="s">
        <v>85</v>
      </c>
      <c r="V44" s="10" t="s">
        <v>85</v>
      </c>
      <c r="W44" s="10" t="s">
        <v>85</v>
      </c>
      <c r="X44" s="10" t="s">
        <v>85</v>
      </c>
      <c r="Y44" s="10" t="s">
        <v>85</v>
      </c>
      <c r="Z44" s="10" t="s">
        <v>85</v>
      </c>
      <c r="AA44" s="10" t="s">
        <v>85</v>
      </c>
      <c r="AB44" s="10" t="s">
        <v>85</v>
      </c>
      <c r="AC44" s="10" t="s">
        <v>85</v>
      </c>
    </row>
    <row r="45" spans="1:29" s="18" customFormat="1" x14ac:dyDescent="0.35">
      <c r="A45" s="1" t="s">
        <v>125</v>
      </c>
      <c r="B45" s="1" t="s">
        <v>126</v>
      </c>
      <c r="C45" s="1" t="s">
        <v>448</v>
      </c>
      <c r="D45" s="1" t="s">
        <v>468</v>
      </c>
      <c r="E45" s="10"/>
      <c r="F45" s="12"/>
      <c r="G45" s="12"/>
      <c r="H45" s="10" t="s">
        <v>85</v>
      </c>
      <c r="I45" s="10" t="s">
        <v>85</v>
      </c>
      <c r="J45" s="10" t="s">
        <v>85</v>
      </c>
      <c r="K45" s="10" t="s">
        <v>85</v>
      </c>
      <c r="L45" s="10" t="s">
        <v>85</v>
      </c>
      <c r="M45" s="10" t="s">
        <v>85</v>
      </c>
      <c r="N45" s="10">
        <v>511086</v>
      </c>
      <c r="O45" s="10">
        <v>439466</v>
      </c>
      <c r="P45" s="10">
        <v>364243</v>
      </c>
      <c r="Q45" s="29">
        <v>285235</v>
      </c>
      <c r="R45" s="29">
        <v>201792</v>
      </c>
      <c r="S45" s="10" t="s">
        <v>85</v>
      </c>
      <c r="T45" s="10" t="s">
        <v>85</v>
      </c>
      <c r="U45" s="10" t="s">
        <v>85</v>
      </c>
      <c r="V45" s="10" t="s">
        <v>85</v>
      </c>
      <c r="W45" s="10" t="s">
        <v>85</v>
      </c>
      <c r="X45" s="10" t="s">
        <v>85</v>
      </c>
      <c r="Y45" s="10" t="s">
        <v>85</v>
      </c>
      <c r="Z45" s="10" t="s">
        <v>85</v>
      </c>
      <c r="AA45" s="10" t="s">
        <v>85</v>
      </c>
      <c r="AB45" s="10" t="s">
        <v>85</v>
      </c>
      <c r="AC45" s="10" t="s">
        <v>85</v>
      </c>
    </row>
    <row r="46" spans="1:29" s="18" customFormat="1" x14ac:dyDescent="0.35">
      <c r="A46" s="1" t="s">
        <v>125</v>
      </c>
      <c r="B46" s="1" t="s">
        <v>126</v>
      </c>
      <c r="C46" s="1" t="s">
        <v>448</v>
      </c>
      <c r="D46" s="1" t="s">
        <v>470</v>
      </c>
      <c r="E46" s="10"/>
      <c r="F46" s="12"/>
      <c r="G46" s="12"/>
      <c r="H46" s="10" t="s">
        <v>85</v>
      </c>
      <c r="I46" s="10" t="s">
        <v>85</v>
      </c>
      <c r="J46" s="10" t="s">
        <v>85</v>
      </c>
      <c r="K46" s="10" t="s">
        <v>85</v>
      </c>
      <c r="L46" s="10" t="s">
        <v>85</v>
      </c>
      <c r="M46" s="10" t="s">
        <v>85</v>
      </c>
      <c r="N46" s="10">
        <v>-8872209</v>
      </c>
      <c r="O46" s="10">
        <v>-8357882</v>
      </c>
      <c r="P46" s="10">
        <v>-7821246</v>
      </c>
      <c r="Q46" s="29">
        <v>-7261640</v>
      </c>
      <c r="R46" s="29">
        <f>893285-6679135</f>
        <v>-5785850</v>
      </c>
      <c r="S46" s="10" t="s">
        <v>85</v>
      </c>
      <c r="T46" s="10" t="s">
        <v>85</v>
      </c>
      <c r="U46" s="10" t="s">
        <v>85</v>
      </c>
      <c r="V46" s="10" t="s">
        <v>85</v>
      </c>
      <c r="W46" s="10" t="s">
        <v>85</v>
      </c>
      <c r="X46" s="10" t="s">
        <v>85</v>
      </c>
      <c r="Y46" s="10" t="s">
        <v>85</v>
      </c>
      <c r="Z46" s="10" t="s">
        <v>85</v>
      </c>
      <c r="AA46" s="10" t="s">
        <v>85</v>
      </c>
      <c r="AB46" s="10" t="s">
        <v>85</v>
      </c>
      <c r="AC46" s="10" t="s">
        <v>85</v>
      </c>
    </row>
    <row r="47" spans="1:29" s="18" customFormat="1" x14ac:dyDescent="0.35">
      <c r="A47" s="1" t="s">
        <v>125</v>
      </c>
      <c r="B47" s="1" t="s">
        <v>126</v>
      </c>
      <c r="C47" s="7" t="s">
        <v>448</v>
      </c>
      <c r="D47" s="7" t="s">
        <v>450</v>
      </c>
      <c r="E47" s="10"/>
      <c r="F47" s="15"/>
      <c r="G47" s="15"/>
      <c r="H47" s="10" t="s">
        <v>85</v>
      </c>
      <c r="I47" s="10" t="s">
        <v>85</v>
      </c>
      <c r="J47" s="10" t="s">
        <v>85</v>
      </c>
      <c r="K47" s="10" t="s">
        <v>85</v>
      </c>
      <c r="L47" s="10" t="s">
        <v>85</v>
      </c>
      <c r="M47" s="10" t="s">
        <v>85</v>
      </c>
      <c r="N47" s="15">
        <f>SUM(N43:N46)</f>
        <v>26929205</v>
      </c>
      <c r="O47" s="15">
        <f>SUM(O43:O46)</f>
        <v>25800014</v>
      </c>
      <c r="P47" s="15">
        <f>SUM(P43:P46)</f>
        <v>24671442</v>
      </c>
      <c r="Q47" s="15">
        <f>SUM(Q43:Q46)</f>
        <v>23538615</v>
      </c>
      <c r="R47" s="15">
        <f>SUM(R43:R46)</f>
        <v>48293741</v>
      </c>
      <c r="S47" s="15">
        <f>57182537-10074495</f>
        <v>47108042</v>
      </c>
      <c r="T47" s="15">
        <f>226475+45914773</f>
        <v>46141248</v>
      </c>
      <c r="U47" s="15">
        <v>48699114</v>
      </c>
      <c r="V47" s="15">
        <v>96264787</v>
      </c>
      <c r="W47" s="15">
        <v>95361415</v>
      </c>
      <c r="X47" s="15">
        <v>93065733</v>
      </c>
      <c r="Y47" s="15">
        <v>90386903</v>
      </c>
      <c r="Z47" s="15">
        <v>90246352</v>
      </c>
      <c r="AA47" s="15">
        <v>87200895</v>
      </c>
      <c r="AB47" s="15">
        <v>84017089</v>
      </c>
      <c r="AC47" s="15">
        <v>80796512</v>
      </c>
    </row>
    <row r="48" spans="1:29" s="18" customFormat="1" x14ac:dyDescent="0.35">
      <c r="A48" s="1" t="s">
        <v>125</v>
      </c>
      <c r="B48" s="1" t="s">
        <v>126</v>
      </c>
      <c r="C48" s="7" t="s">
        <v>451</v>
      </c>
      <c r="D48" s="7" t="s">
        <v>451</v>
      </c>
      <c r="E48" s="10"/>
      <c r="F48" s="15"/>
      <c r="G48" s="15"/>
      <c r="H48" s="10" t="s">
        <v>85</v>
      </c>
      <c r="I48" s="10" t="s">
        <v>85</v>
      </c>
      <c r="J48" s="10" t="s">
        <v>85</v>
      </c>
      <c r="K48" s="10" t="s">
        <v>85</v>
      </c>
      <c r="L48" s="10" t="s">
        <v>85</v>
      </c>
      <c r="M48" s="10" t="s">
        <v>85</v>
      </c>
      <c r="N48" s="15">
        <f t="shared" ref="N48:AC48" si="13">N47+N42</f>
        <v>29302813</v>
      </c>
      <c r="O48" s="15">
        <f t="shared" si="13"/>
        <v>28990124</v>
      </c>
      <c r="P48" s="15">
        <f t="shared" si="13"/>
        <v>28075320</v>
      </c>
      <c r="Q48" s="15">
        <f t="shared" si="13"/>
        <v>27159644</v>
      </c>
      <c r="R48" s="15">
        <f t="shared" si="13"/>
        <v>51727531</v>
      </c>
      <c r="S48" s="15">
        <f t="shared" si="13"/>
        <v>50459154</v>
      </c>
      <c r="T48" s="15">
        <f t="shared" si="13"/>
        <v>48733517</v>
      </c>
      <c r="U48" s="15">
        <f t="shared" si="13"/>
        <v>53269413</v>
      </c>
      <c r="V48" s="15">
        <f t="shared" si="13"/>
        <v>100661924</v>
      </c>
      <c r="W48" s="15">
        <f t="shared" si="13"/>
        <v>101207660</v>
      </c>
      <c r="X48" s="15">
        <f t="shared" si="13"/>
        <v>98007785</v>
      </c>
      <c r="Y48" s="15">
        <f t="shared" si="13"/>
        <v>97817118</v>
      </c>
      <c r="Z48" s="15">
        <f t="shared" si="13"/>
        <v>95207151</v>
      </c>
      <c r="AA48" s="15">
        <f t="shared" si="13"/>
        <v>93137439</v>
      </c>
      <c r="AB48" s="15">
        <f t="shared" si="13"/>
        <v>89321881</v>
      </c>
      <c r="AC48" s="15">
        <f t="shared" si="13"/>
        <v>88292770</v>
      </c>
    </row>
    <row r="49" spans="1:29" s="18" customFormat="1" x14ac:dyDescent="0.35">
      <c r="A49" s="1" t="s">
        <v>125</v>
      </c>
      <c r="B49" s="1" t="s">
        <v>126</v>
      </c>
      <c r="C49" s="18" t="s">
        <v>452</v>
      </c>
      <c r="D49" s="18" t="s">
        <v>480</v>
      </c>
      <c r="E49" s="29"/>
      <c r="F49" s="16"/>
      <c r="G49" s="16"/>
      <c r="H49" s="10" t="s">
        <v>85</v>
      </c>
      <c r="I49" s="10" t="s">
        <v>85</v>
      </c>
      <c r="J49" s="10" t="s">
        <v>85</v>
      </c>
      <c r="K49" s="10" t="s">
        <v>85</v>
      </c>
      <c r="L49" s="10" t="s">
        <v>85</v>
      </c>
      <c r="M49" s="10" t="s">
        <v>85</v>
      </c>
      <c r="N49" s="10" t="s">
        <v>85</v>
      </c>
      <c r="O49" s="10" t="s">
        <v>85</v>
      </c>
      <c r="P49" s="10" t="s">
        <v>85</v>
      </c>
      <c r="Q49" s="10" t="s">
        <v>85</v>
      </c>
      <c r="R49" s="10" t="s">
        <v>85</v>
      </c>
      <c r="S49" s="10" t="s">
        <v>85</v>
      </c>
      <c r="T49" s="10" t="s">
        <v>85</v>
      </c>
      <c r="U49" s="10" t="s">
        <v>85</v>
      </c>
      <c r="V49" s="10" t="s">
        <v>85</v>
      </c>
      <c r="W49" s="10" t="s">
        <v>85</v>
      </c>
      <c r="X49" s="10" t="s">
        <v>85</v>
      </c>
      <c r="Y49" s="10" t="s">
        <v>85</v>
      </c>
      <c r="Z49" s="10" t="s">
        <v>85</v>
      </c>
      <c r="AA49" s="16">
        <v>-22222481</v>
      </c>
      <c r="AB49" s="16">
        <v>-23596474</v>
      </c>
      <c r="AC49" s="16">
        <v>-18130096</v>
      </c>
    </row>
    <row r="50" spans="1:29" s="18" customFormat="1" x14ac:dyDescent="0.35">
      <c r="A50" s="1" t="s">
        <v>125</v>
      </c>
      <c r="B50" s="1" t="s">
        <v>126</v>
      </c>
      <c r="C50" s="1" t="s">
        <v>452</v>
      </c>
      <c r="D50" s="1" t="s">
        <v>460</v>
      </c>
      <c r="E50" s="10"/>
      <c r="F50" s="16"/>
      <c r="G50" s="16"/>
      <c r="H50" s="16">
        <v>19976</v>
      </c>
      <c r="I50" s="16">
        <f>80153+12950</f>
        <v>93103</v>
      </c>
      <c r="J50" s="16">
        <v>16355</v>
      </c>
      <c r="K50" s="16">
        <v>30858</v>
      </c>
      <c r="L50" s="16">
        <v>36768</v>
      </c>
      <c r="M50" s="16">
        <v>43124</v>
      </c>
      <c r="N50" s="16">
        <v>0</v>
      </c>
      <c r="O50" s="12">
        <f>27025+22113+3618</f>
        <v>52756</v>
      </c>
      <c r="P50" s="12">
        <v>0</v>
      </c>
      <c r="Q50" s="12">
        <v>0</v>
      </c>
      <c r="R50" s="12">
        <v>0</v>
      </c>
      <c r="S50" s="12">
        <v>5442317</v>
      </c>
      <c r="T50" s="12">
        <v>4399356</v>
      </c>
      <c r="U50" s="12">
        <v>4044555</v>
      </c>
      <c r="V50" s="12">
        <v>4060685</v>
      </c>
      <c r="W50" s="12">
        <v>4099908</v>
      </c>
      <c r="X50" s="12">
        <v>4067766</v>
      </c>
      <c r="Y50" s="12">
        <v>4148621</v>
      </c>
      <c r="Z50" s="12">
        <v>4127420</v>
      </c>
      <c r="AA50" s="12">
        <v>7409503</v>
      </c>
      <c r="AB50" s="12">
        <v>7426839</v>
      </c>
      <c r="AC50" s="12">
        <v>7513275</v>
      </c>
    </row>
    <row r="51" spans="1:29" s="18" customFormat="1" x14ac:dyDescent="0.35">
      <c r="A51" s="1" t="s">
        <v>125</v>
      </c>
      <c r="B51" s="1" t="s">
        <v>126</v>
      </c>
      <c r="C51" s="1" t="s">
        <v>452</v>
      </c>
      <c r="D51" s="1" t="s">
        <v>461</v>
      </c>
      <c r="E51" s="10"/>
      <c r="F51" s="16"/>
      <c r="G51" s="16"/>
      <c r="H51" s="16">
        <v>37175</v>
      </c>
      <c r="I51" s="16">
        <v>1791106</v>
      </c>
      <c r="J51" s="16">
        <v>1205216</v>
      </c>
      <c r="K51" s="16">
        <v>1751623</v>
      </c>
      <c r="L51" s="16">
        <v>1415372</v>
      </c>
      <c r="M51" s="16">
        <v>487389</v>
      </c>
      <c r="N51" s="16">
        <v>2564578</v>
      </c>
      <c r="O51" s="12">
        <v>1665191</v>
      </c>
      <c r="P51" s="12">
        <v>726604</v>
      </c>
      <c r="Q51" s="12">
        <v>2313820</v>
      </c>
      <c r="R51" s="12">
        <v>7160219</v>
      </c>
      <c r="S51" s="12">
        <v>1281066</v>
      </c>
      <c r="T51" s="12">
        <v>2463466</v>
      </c>
      <c r="U51" s="12">
        <v>1672972</v>
      </c>
      <c r="V51" s="12">
        <v>-805933</v>
      </c>
      <c r="W51" s="12">
        <v>-673193</v>
      </c>
      <c r="X51" s="12">
        <v>1592281</v>
      </c>
      <c r="Y51" s="12">
        <v>233181</v>
      </c>
      <c r="Z51" s="12">
        <v>-1717850</v>
      </c>
      <c r="AA51" s="12">
        <v>19096327</v>
      </c>
      <c r="AB51" s="12">
        <v>23541496</v>
      </c>
      <c r="AC51" s="12">
        <v>24579597</v>
      </c>
    </row>
    <row r="52" spans="1:29" s="18" customFormat="1" x14ac:dyDescent="0.35">
      <c r="A52" s="1" t="s">
        <v>125</v>
      </c>
      <c r="B52" s="1" t="s">
        <v>126</v>
      </c>
      <c r="C52" s="7" t="s">
        <v>452</v>
      </c>
      <c r="D52" s="7" t="s">
        <v>453</v>
      </c>
      <c r="E52" s="10"/>
      <c r="F52" s="14"/>
      <c r="G52" s="14"/>
      <c r="H52" s="14">
        <f t="shared" ref="H52:Z52" si="14">SUM(H50:H51)</f>
        <v>57151</v>
      </c>
      <c r="I52" s="14">
        <f t="shared" si="14"/>
        <v>1884209</v>
      </c>
      <c r="J52" s="14">
        <f t="shared" si="14"/>
        <v>1221571</v>
      </c>
      <c r="K52" s="14">
        <f t="shared" si="14"/>
        <v>1782481</v>
      </c>
      <c r="L52" s="14">
        <f t="shared" si="14"/>
        <v>1452140</v>
      </c>
      <c r="M52" s="14">
        <f t="shared" si="14"/>
        <v>530513</v>
      </c>
      <c r="N52" s="14">
        <f t="shared" si="14"/>
        <v>2564578</v>
      </c>
      <c r="O52" s="14">
        <f t="shared" si="14"/>
        <v>1717947</v>
      </c>
      <c r="P52" s="14">
        <f t="shared" si="14"/>
        <v>726604</v>
      </c>
      <c r="Q52" s="14">
        <f t="shared" si="14"/>
        <v>2313820</v>
      </c>
      <c r="R52" s="14">
        <f t="shared" si="14"/>
        <v>7160219</v>
      </c>
      <c r="S52" s="14">
        <f t="shared" si="14"/>
        <v>6723383</v>
      </c>
      <c r="T52" s="14">
        <f t="shared" si="14"/>
        <v>6862822</v>
      </c>
      <c r="U52" s="14">
        <f t="shared" si="14"/>
        <v>5717527</v>
      </c>
      <c r="V52" s="14">
        <f t="shared" si="14"/>
        <v>3254752</v>
      </c>
      <c r="W52" s="14">
        <f t="shared" si="14"/>
        <v>3426715</v>
      </c>
      <c r="X52" s="14">
        <f t="shared" si="14"/>
        <v>5660047</v>
      </c>
      <c r="Y52" s="14">
        <f t="shared" si="14"/>
        <v>4381802</v>
      </c>
      <c r="Z52" s="14">
        <f t="shared" si="14"/>
        <v>2409570</v>
      </c>
      <c r="AA52" s="14">
        <f>SUM(AA49:AA51)</f>
        <v>4283349</v>
      </c>
      <c r="AB52" s="14">
        <f>SUM(AB49:AB51)</f>
        <v>7371861</v>
      </c>
      <c r="AC52" s="14">
        <f>SUM(AC49:AC51)</f>
        <v>13962776</v>
      </c>
    </row>
    <row r="53" spans="1:29" s="18" customFormat="1" x14ac:dyDescent="0.35">
      <c r="A53" s="1" t="s">
        <v>125</v>
      </c>
      <c r="B53" s="1" t="s">
        <v>126</v>
      </c>
      <c r="C53" s="1" t="s">
        <v>481</v>
      </c>
      <c r="D53" s="1" t="s">
        <v>454</v>
      </c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>
        <v>332995</v>
      </c>
      <c r="V53" s="29">
        <v>124931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</row>
    <row r="54" spans="1:29" s="18" customFormat="1" x14ac:dyDescent="0.35">
      <c r="A54" s="1" t="s">
        <v>125</v>
      </c>
      <c r="B54" s="1" t="s">
        <v>126</v>
      </c>
      <c r="C54" s="7" t="s">
        <v>455</v>
      </c>
      <c r="D54" s="7" t="s">
        <v>455</v>
      </c>
      <c r="E54" s="10"/>
      <c r="F54" s="14"/>
      <c r="G54" s="14"/>
      <c r="H54" s="14">
        <f t="shared" ref="H54:M54" si="15">H52+H42</f>
        <v>4843435</v>
      </c>
      <c r="I54" s="14">
        <f t="shared" si="15"/>
        <v>7662980</v>
      </c>
      <c r="J54" s="14">
        <f t="shared" si="15"/>
        <v>9709456</v>
      </c>
      <c r="K54" s="14">
        <f t="shared" si="15"/>
        <v>8635467</v>
      </c>
      <c r="L54" s="14">
        <f t="shared" si="15"/>
        <v>17869211</v>
      </c>
      <c r="M54" s="14">
        <f t="shared" si="15"/>
        <v>14553203</v>
      </c>
      <c r="N54" s="14">
        <f t="shared" ref="N54:T54" si="16">N52+N48</f>
        <v>31867391</v>
      </c>
      <c r="O54" s="14">
        <f t="shared" si="16"/>
        <v>30708071</v>
      </c>
      <c r="P54" s="14">
        <f t="shared" si="16"/>
        <v>28801924</v>
      </c>
      <c r="Q54" s="14">
        <f t="shared" si="16"/>
        <v>29473464</v>
      </c>
      <c r="R54" s="14">
        <f t="shared" si="16"/>
        <v>58887750</v>
      </c>
      <c r="S54" s="14">
        <f t="shared" si="16"/>
        <v>57182537</v>
      </c>
      <c r="T54" s="14">
        <f t="shared" si="16"/>
        <v>55596339</v>
      </c>
      <c r="U54" s="14">
        <f t="shared" ref="U54:AC54" si="17">U52+U48+U53</f>
        <v>59319935</v>
      </c>
      <c r="V54" s="14">
        <f t="shared" si="17"/>
        <v>104041607</v>
      </c>
      <c r="W54" s="14">
        <f t="shared" si="17"/>
        <v>104634375</v>
      </c>
      <c r="X54" s="14">
        <f t="shared" si="17"/>
        <v>103667832</v>
      </c>
      <c r="Y54" s="14">
        <f t="shared" si="17"/>
        <v>102198920</v>
      </c>
      <c r="Z54" s="14">
        <f t="shared" si="17"/>
        <v>97616721</v>
      </c>
      <c r="AA54" s="14">
        <f t="shared" si="17"/>
        <v>97420788</v>
      </c>
      <c r="AB54" s="14">
        <f t="shared" si="17"/>
        <v>96693742</v>
      </c>
      <c r="AC54" s="14">
        <f t="shared" si="17"/>
        <v>102255546</v>
      </c>
    </row>
    <row r="55" spans="1:29" x14ac:dyDescent="0.35">
      <c r="Z55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topLeftCell="C1" workbookViewId="0">
      <selection activeCell="H2" sqref="H2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9" x14ac:dyDescent="0.35">
      <c r="A1" s="28" t="s">
        <v>0</v>
      </c>
      <c r="B1" s="28" t="s">
        <v>27</v>
      </c>
      <c r="C1" s="28" t="s">
        <v>1</v>
      </c>
      <c r="D1" s="28" t="s">
        <v>24</v>
      </c>
      <c r="E1" s="28" t="s">
        <v>363</v>
      </c>
      <c r="F1" s="28" t="s">
        <v>364</v>
      </c>
      <c r="G1" s="28" t="s">
        <v>365</v>
      </c>
      <c r="H1" s="28" t="s">
        <v>366</v>
      </c>
      <c r="I1" s="28" t="s">
        <v>3</v>
      </c>
      <c r="J1" s="28" t="s">
        <v>4</v>
      </c>
      <c r="K1" s="28" t="s">
        <v>367</v>
      </c>
      <c r="L1" s="28" t="s">
        <v>368</v>
      </c>
      <c r="M1" s="28" t="s">
        <v>483</v>
      </c>
      <c r="N1" s="28" t="s">
        <v>484</v>
      </c>
      <c r="O1" s="28" t="s">
        <v>485</v>
      </c>
      <c r="P1" s="32" t="s">
        <v>486</v>
      </c>
      <c r="Q1" s="28" t="s">
        <v>369</v>
      </c>
      <c r="R1" s="28" t="s">
        <v>370</v>
      </c>
      <c r="S1" s="28" t="s">
        <v>371</v>
      </c>
    </row>
    <row r="2" spans="1:19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84</v>
      </c>
      <c r="F2" s="1" t="s">
        <v>85</v>
      </c>
      <c r="H2" s="1">
        <v>3400000</v>
      </c>
      <c r="I2" s="1">
        <v>1997</v>
      </c>
      <c r="J2" s="1">
        <v>2017</v>
      </c>
      <c r="K2" s="1" t="s">
        <v>86</v>
      </c>
      <c r="L2" s="1" t="s">
        <v>87</v>
      </c>
      <c r="M2" s="1">
        <v>100</v>
      </c>
      <c r="N2" s="1">
        <v>100</v>
      </c>
      <c r="O2" s="1">
        <v>281740</v>
      </c>
      <c r="P2" s="1" t="s">
        <v>487</v>
      </c>
      <c r="Q2" s="1" t="s">
        <v>127</v>
      </c>
      <c r="R2" s="1" t="s">
        <v>128</v>
      </c>
    </row>
    <row r="3" spans="1:19" x14ac:dyDescent="0.35">
      <c r="A3" s="1" t="s">
        <v>125</v>
      </c>
      <c r="B3" s="1" t="s">
        <v>126</v>
      </c>
      <c r="C3" s="1">
        <v>2002</v>
      </c>
      <c r="D3" s="1" t="s">
        <v>103</v>
      </c>
      <c r="E3" s="1" t="s">
        <v>84</v>
      </c>
      <c r="F3" s="1" t="s">
        <v>85</v>
      </c>
      <c r="H3" s="1">
        <v>3250000</v>
      </c>
      <c r="I3" s="1">
        <v>2002</v>
      </c>
      <c r="J3" s="1">
        <v>2017</v>
      </c>
      <c r="K3" s="1" t="s">
        <v>86</v>
      </c>
      <c r="L3" s="1" t="s">
        <v>122</v>
      </c>
      <c r="M3" s="1">
        <v>100</v>
      </c>
      <c r="N3" s="1">
        <v>100</v>
      </c>
      <c r="O3" s="1">
        <v>283100</v>
      </c>
      <c r="P3" s="1" t="s">
        <v>487</v>
      </c>
      <c r="Q3" s="1" t="s">
        <v>127</v>
      </c>
      <c r="R3" s="1" t="s">
        <v>128</v>
      </c>
    </row>
    <row r="4" spans="1:19" x14ac:dyDescent="0.35">
      <c r="A4" s="1" t="s">
        <v>125</v>
      </c>
      <c r="B4" s="1" t="s">
        <v>126</v>
      </c>
      <c r="C4" s="1">
        <v>2003</v>
      </c>
      <c r="D4" s="1" t="s">
        <v>103</v>
      </c>
      <c r="E4" s="1" t="s">
        <v>84</v>
      </c>
      <c r="F4" s="1" t="s">
        <v>85</v>
      </c>
      <c r="H4" s="1">
        <v>11999417</v>
      </c>
      <c r="I4" s="1">
        <v>2003</v>
      </c>
      <c r="J4" s="1">
        <v>2020</v>
      </c>
      <c r="K4" s="1" t="s">
        <v>86</v>
      </c>
      <c r="L4" s="1" t="s">
        <v>122</v>
      </c>
      <c r="M4" s="1">
        <v>100</v>
      </c>
      <c r="N4" s="1">
        <v>100</v>
      </c>
      <c r="O4" s="1" t="s">
        <v>85</v>
      </c>
      <c r="P4" s="1" t="s">
        <v>487</v>
      </c>
      <c r="Q4" s="1" t="s">
        <v>127</v>
      </c>
      <c r="R4" s="1" t="s">
        <v>128</v>
      </c>
    </row>
    <row r="5" spans="1:19" x14ac:dyDescent="0.35">
      <c r="A5" s="1" t="s">
        <v>125</v>
      </c>
      <c r="B5" s="1" t="s">
        <v>126</v>
      </c>
      <c r="C5" s="1">
        <v>2007</v>
      </c>
      <c r="D5" s="1" t="s">
        <v>103</v>
      </c>
      <c r="E5" s="1" t="s">
        <v>84</v>
      </c>
      <c r="F5" s="1" t="s">
        <v>85</v>
      </c>
      <c r="H5" s="1">
        <v>25000000</v>
      </c>
      <c r="I5" s="1">
        <v>2007</v>
      </c>
      <c r="J5" s="1">
        <v>2027</v>
      </c>
      <c r="K5" s="1" t="s">
        <v>86</v>
      </c>
      <c r="L5" s="1" t="s">
        <v>87</v>
      </c>
      <c r="M5" s="1">
        <v>100</v>
      </c>
      <c r="N5" s="1">
        <v>100</v>
      </c>
      <c r="O5" s="1">
        <v>2500000</v>
      </c>
      <c r="P5" s="1" t="s">
        <v>487</v>
      </c>
      <c r="Q5" s="1" t="s">
        <v>127</v>
      </c>
      <c r="R5" s="1" t="s">
        <v>128</v>
      </c>
    </row>
    <row r="6" spans="1:19" x14ac:dyDescent="0.35">
      <c r="A6" s="1" t="s">
        <v>125</v>
      </c>
      <c r="B6" s="1" t="s">
        <v>126</v>
      </c>
      <c r="C6" s="1">
        <v>2011</v>
      </c>
      <c r="D6" s="1" t="s">
        <v>103</v>
      </c>
      <c r="E6" s="1" t="s">
        <v>86</v>
      </c>
      <c r="F6" s="1" t="s">
        <v>85</v>
      </c>
      <c r="H6" s="1">
        <v>50000000</v>
      </c>
      <c r="I6" s="1">
        <v>2011</v>
      </c>
      <c r="J6" s="1">
        <v>2036</v>
      </c>
      <c r="K6" s="1" t="s">
        <v>86</v>
      </c>
      <c r="L6" s="1" t="s">
        <v>122</v>
      </c>
      <c r="M6" s="1">
        <v>110</v>
      </c>
      <c r="N6" s="1">
        <v>110</v>
      </c>
      <c r="O6" s="1">
        <v>3361221</v>
      </c>
      <c r="P6" s="1" t="s">
        <v>487</v>
      </c>
      <c r="Q6" s="1" t="s">
        <v>127</v>
      </c>
      <c r="R6" s="1" t="s">
        <v>235</v>
      </c>
    </row>
    <row r="7" spans="1:19" x14ac:dyDescent="0.35">
      <c r="A7" s="1" t="s">
        <v>125</v>
      </c>
      <c r="B7" s="1" t="s">
        <v>126</v>
      </c>
      <c r="C7" s="1">
        <v>2015</v>
      </c>
      <c r="D7" s="1" t="s">
        <v>103</v>
      </c>
      <c r="E7" s="1" t="s">
        <v>337</v>
      </c>
      <c r="F7" s="1" t="s">
        <v>86</v>
      </c>
      <c r="H7" s="1">
        <v>25130000</v>
      </c>
      <c r="I7" s="1">
        <v>2015</v>
      </c>
      <c r="J7" s="1">
        <v>2027</v>
      </c>
      <c r="K7" s="1" t="s">
        <v>86</v>
      </c>
      <c r="L7" s="1" t="s">
        <v>87</v>
      </c>
      <c r="M7" s="1">
        <v>110</v>
      </c>
      <c r="N7" s="1">
        <v>110</v>
      </c>
      <c r="O7" s="1">
        <v>2500000</v>
      </c>
      <c r="P7" s="1" t="s">
        <v>487</v>
      </c>
      <c r="Q7" s="1" t="s">
        <v>127</v>
      </c>
      <c r="R7" s="1" t="s">
        <v>335</v>
      </c>
      <c r="S7" s="1" t="s">
        <v>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selection sqref="A1:I1"/>
    </sheetView>
  </sheetViews>
  <sheetFormatPr defaultColWidth="8.90625" defaultRowHeight="14.5" x14ac:dyDescent="0.35"/>
  <cols>
    <col min="1" max="16384" width="8.90625" style="1"/>
  </cols>
  <sheetData>
    <row r="1" spans="1:9" x14ac:dyDescent="0.35">
      <c r="A1" s="2" t="s">
        <v>0</v>
      </c>
      <c r="B1" s="2" t="s">
        <v>27</v>
      </c>
      <c r="C1" s="2" t="s">
        <v>1</v>
      </c>
      <c r="D1" s="2" t="s">
        <v>24</v>
      </c>
      <c r="E1" s="8" t="s">
        <v>385</v>
      </c>
      <c r="F1" s="5" t="s">
        <v>33</v>
      </c>
      <c r="G1" s="9" t="s">
        <v>425</v>
      </c>
      <c r="H1" s="2" t="s">
        <v>426</v>
      </c>
      <c r="I1" s="4" t="s">
        <v>371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DF5-67AB-47C1-B3A5-7A326D587AB0}">
  <dimension ref="A1:AK38"/>
  <sheetViews>
    <sheetView workbookViewId="0">
      <selection activeCell="E17" sqref="E17:AK26"/>
    </sheetView>
  </sheetViews>
  <sheetFormatPr defaultRowHeight="14.5" x14ac:dyDescent="0.35"/>
  <cols>
    <col min="1" max="1" width="6.90625" customWidth="1"/>
    <col min="2" max="2" width="61.08984375" customWidth="1"/>
    <col min="3" max="3" width="16.36328125" customWidth="1"/>
    <col min="4" max="4" width="2.54296875" customWidth="1"/>
    <col min="5" max="16" width="11.54296875" bestFit="1" customWidth="1"/>
    <col min="17" max="20" width="12.54296875" bestFit="1" customWidth="1"/>
    <col min="21" max="23" width="11.54296875" bestFit="1" customWidth="1"/>
    <col min="24" max="24" width="12.54296875" bestFit="1" customWidth="1"/>
  </cols>
  <sheetData>
    <row r="1" spans="1:24" x14ac:dyDescent="0.35">
      <c r="B1" s="38" t="s">
        <v>543</v>
      </c>
      <c r="C1" s="38" t="s">
        <v>542</v>
      </c>
      <c r="D1" s="38"/>
      <c r="E1" s="38">
        <v>1999</v>
      </c>
      <c r="F1" s="38">
        <v>2000</v>
      </c>
      <c r="G1" s="38">
        <v>2001</v>
      </c>
      <c r="H1" s="38">
        <v>2002</v>
      </c>
      <c r="I1" s="38">
        <v>2003</v>
      </c>
      <c r="J1" s="38">
        <v>2004</v>
      </c>
      <c r="K1" s="38">
        <v>2005</v>
      </c>
      <c r="L1" s="38">
        <v>2006</v>
      </c>
      <c r="M1" s="38">
        <v>2007</v>
      </c>
      <c r="N1" s="38">
        <v>2008</v>
      </c>
      <c r="O1" s="38">
        <v>2009</v>
      </c>
      <c r="P1" s="38">
        <v>2010</v>
      </c>
      <c r="Q1" s="38">
        <v>2011</v>
      </c>
      <c r="R1" s="38">
        <v>2012</v>
      </c>
      <c r="S1" s="38">
        <v>2013</v>
      </c>
      <c r="T1" s="38">
        <v>2014</v>
      </c>
      <c r="U1" s="38">
        <v>2015</v>
      </c>
      <c r="V1" s="38">
        <v>2016</v>
      </c>
      <c r="W1" s="38">
        <v>2017</v>
      </c>
      <c r="X1" s="38">
        <v>2018</v>
      </c>
    </row>
    <row r="2" spans="1:24" ht="15.5" x14ac:dyDescent="0.35">
      <c r="A2" t="s">
        <v>541</v>
      </c>
      <c r="B2" s="40" t="s">
        <v>65</v>
      </c>
      <c r="C2" s="42" t="s">
        <v>540</v>
      </c>
      <c r="D2" s="42" t="s">
        <v>544</v>
      </c>
      <c r="E2" s="41">
        <f>fiscal!J9</f>
        <v>10148886</v>
      </c>
      <c r="F2" s="41">
        <f>fiscal!K9</f>
        <v>11452588</v>
      </c>
      <c r="G2" s="41">
        <f>fiscal!L9</f>
        <v>11782198</v>
      </c>
      <c r="H2" s="41">
        <f>fiscal!M9</f>
        <v>11784859</v>
      </c>
      <c r="I2" s="41">
        <f>fiscal!N9</f>
        <v>12011921</v>
      </c>
      <c r="J2" s="41">
        <f>fiscal!O9</f>
        <v>12405806</v>
      </c>
      <c r="K2" s="41">
        <f>fiscal!P9</f>
        <v>12265652</v>
      </c>
      <c r="L2" s="41">
        <f>fiscal!Q9</f>
        <v>14679761</v>
      </c>
      <c r="M2" s="41">
        <f>fiscal!R9</f>
        <v>17826205</v>
      </c>
      <c r="N2" s="41">
        <f>fiscal!S9</f>
        <v>17507191</v>
      </c>
      <c r="O2" s="41">
        <f>fiscal!T9</f>
        <v>19114691</v>
      </c>
      <c r="P2" s="41">
        <f>fiscal!U9</f>
        <v>20989775</v>
      </c>
      <c r="Q2" s="41">
        <f>fiscal!V9</f>
        <v>23667374</v>
      </c>
      <c r="R2" s="41">
        <f>fiscal!W9</f>
        <v>24197813</v>
      </c>
      <c r="S2" s="41">
        <f>fiscal!X9</f>
        <v>26766668</v>
      </c>
      <c r="T2" s="41">
        <f>fiscal!Y9</f>
        <v>26399142</v>
      </c>
      <c r="U2" s="41">
        <f>fiscal!Z9</f>
        <v>27685750</v>
      </c>
      <c r="V2" s="41">
        <f>fiscal!AA9</f>
        <v>30918388</v>
      </c>
      <c r="W2" s="41">
        <f>fiscal!AB9</f>
        <v>30896495</v>
      </c>
      <c r="X2" s="41">
        <f>fiscal!AC9</f>
        <v>30585831</v>
      </c>
    </row>
    <row r="3" spans="1:24" ht="15.5" x14ac:dyDescent="0.35">
      <c r="A3" t="s">
        <v>539</v>
      </c>
      <c r="B3" s="40" t="s">
        <v>67</v>
      </c>
      <c r="C3" s="42" t="s">
        <v>538</v>
      </c>
      <c r="D3" s="42" t="s">
        <v>544</v>
      </c>
      <c r="E3" s="41">
        <f>fiscal!J24</f>
        <v>10534452</v>
      </c>
      <c r="F3" s="41">
        <f>fiscal!K24</f>
        <v>10902736</v>
      </c>
      <c r="G3" s="41">
        <f>fiscal!L24</f>
        <v>12131924</v>
      </c>
      <c r="H3" s="41">
        <f>fiscal!M24</f>
        <v>12035750</v>
      </c>
      <c r="I3" s="41">
        <f>fiscal!N24</f>
        <v>12669241</v>
      </c>
      <c r="J3" s="41">
        <f>fiscal!O24</f>
        <v>13004517</v>
      </c>
      <c r="K3" s="41">
        <f>fiscal!P24</f>
        <v>13165388</v>
      </c>
      <c r="L3" s="41">
        <f>fiscal!Q24</f>
        <v>13962691</v>
      </c>
      <c r="M3" s="41">
        <f>fiscal!R24</f>
        <v>15011644</v>
      </c>
      <c r="N3" s="41">
        <f>fiscal!S24</f>
        <v>15370543</v>
      </c>
      <c r="O3" s="41">
        <f>fiscal!T24</f>
        <v>16017650</v>
      </c>
      <c r="P3" s="41">
        <f>fiscal!U24</f>
        <v>19238784</v>
      </c>
      <c r="Q3" s="41">
        <f>fiscal!V24</f>
        <v>21495389</v>
      </c>
      <c r="R3" s="41">
        <f>fiscal!W24</f>
        <v>20565464</v>
      </c>
      <c r="S3" s="41">
        <f>fiscal!X24</f>
        <v>19123652</v>
      </c>
      <c r="T3" s="41">
        <f>fiscal!Y24</f>
        <v>23726069</v>
      </c>
      <c r="U3" s="41">
        <f>fiscal!Z24</f>
        <v>25942104</v>
      </c>
      <c r="V3" s="41">
        <f>fiscal!AA24</f>
        <v>25311814</v>
      </c>
      <c r="W3" s="41">
        <f>fiscal!AB24</f>
        <v>25302622</v>
      </c>
      <c r="X3" s="41">
        <f>fiscal!AC24</f>
        <v>27592028</v>
      </c>
    </row>
    <row r="4" spans="1:24" ht="15.5" x14ac:dyDescent="0.35">
      <c r="A4" t="s">
        <v>537</v>
      </c>
      <c r="B4" s="40" t="s">
        <v>536</v>
      </c>
      <c r="C4" s="42" t="s">
        <v>535</v>
      </c>
      <c r="D4" s="42" t="s">
        <v>544</v>
      </c>
      <c r="E4" s="41">
        <f>fiscal!J29</f>
        <v>139890</v>
      </c>
      <c r="F4" s="41">
        <f>fiscal!K29</f>
        <v>228393</v>
      </c>
      <c r="G4" s="41">
        <f>fiscal!L29</f>
        <v>291053</v>
      </c>
      <c r="H4" s="41">
        <f>fiscal!M29</f>
        <v>327560</v>
      </c>
      <c r="I4" s="41">
        <f>fiscal!N29</f>
        <v>383056</v>
      </c>
      <c r="J4" s="41">
        <f>fiscal!O29</f>
        <v>382673</v>
      </c>
      <c r="K4" s="41">
        <f>fiscal!P29</f>
        <v>472796</v>
      </c>
      <c r="L4" s="41">
        <f>fiscal!Q29</f>
        <v>586344</v>
      </c>
      <c r="M4" s="41">
        <f>fiscal!R29</f>
        <v>625085</v>
      </c>
      <c r="N4" s="41">
        <f>fiscal!S29</f>
        <v>671116</v>
      </c>
      <c r="O4" s="41">
        <f>fiscal!T29</f>
        <v>905362</v>
      </c>
      <c r="P4" s="41">
        <f>fiscal!U29</f>
        <v>1080440</v>
      </c>
      <c r="Q4" s="41">
        <f>fiscal!V29</f>
        <v>1271273</v>
      </c>
      <c r="R4" s="41">
        <f>fiscal!W29</f>
        <v>1647255</v>
      </c>
      <c r="S4" s="41">
        <f>fiscal!X29</f>
        <v>1822688</v>
      </c>
      <c r="T4" s="41">
        <f>fiscal!Y29</f>
        <v>2530279</v>
      </c>
      <c r="U4" s="41">
        <f>fiscal!Z29</f>
        <v>2943233</v>
      </c>
      <c r="V4" s="41">
        <f>fiscal!AA29</f>
        <v>1197002</v>
      </c>
      <c r="W4" s="41">
        <f>fiscal!AB29</f>
        <v>3304835</v>
      </c>
      <c r="X4" s="41">
        <f>fiscal!AC29</f>
        <v>3872439</v>
      </c>
    </row>
    <row r="5" spans="1:24" ht="15.5" x14ac:dyDescent="0.35">
      <c r="A5" t="s">
        <v>534</v>
      </c>
      <c r="B5" s="40" t="s">
        <v>533</v>
      </c>
      <c r="C5" s="42" t="s">
        <v>530</v>
      </c>
      <c r="D5" s="42" t="s">
        <v>544</v>
      </c>
      <c r="E5" s="41">
        <f>fiscal!J45</f>
        <v>0</v>
      </c>
      <c r="F5" s="41">
        <f>fiscal!K45</f>
        <v>0</v>
      </c>
      <c r="G5" s="41">
        <f>fiscal!L45</f>
        <v>0</v>
      </c>
      <c r="H5" s="41">
        <f>fiscal!M45</f>
        <v>0</v>
      </c>
      <c r="I5" s="41">
        <f>fiscal!N45</f>
        <v>0</v>
      </c>
      <c r="J5" s="41">
        <f>fiscal!O45</f>
        <v>0</v>
      </c>
      <c r="K5" s="41">
        <f>fiscal!P45</f>
        <v>0</v>
      </c>
      <c r="L5" s="41">
        <f>fiscal!Q45</f>
        <v>590238</v>
      </c>
      <c r="M5" s="41">
        <f>fiscal!R45</f>
        <v>1057522</v>
      </c>
      <c r="N5" s="41">
        <f>fiscal!S45</f>
        <v>1826565</v>
      </c>
      <c r="O5" s="41">
        <f>fiscal!T45</f>
        <v>1824228</v>
      </c>
      <c r="P5" s="41">
        <f>fiscal!U45</f>
        <v>1857454</v>
      </c>
      <c r="Q5" s="41">
        <f>fiscal!V45</f>
        <v>2758327</v>
      </c>
      <c r="R5" s="41">
        <f>fiscal!W45</f>
        <v>6353644</v>
      </c>
      <c r="S5" s="41">
        <f>fiscal!X45</f>
        <v>6788136</v>
      </c>
      <c r="T5" s="41">
        <f>fiscal!Y45</f>
        <v>0</v>
      </c>
      <c r="U5" s="41">
        <f>fiscal!Z45</f>
        <v>0</v>
      </c>
      <c r="V5" s="41">
        <f>fiscal!AA45</f>
        <v>0</v>
      </c>
      <c r="W5" s="41">
        <f>fiscal!AB45</f>
        <v>0</v>
      </c>
      <c r="X5" s="41">
        <f>fiscal!AC45</f>
        <v>0</v>
      </c>
    </row>
    <row r="6" spans="1:24" ht="15.5" x14ac:dyDescent="0.35">
      <c r="A6" t="s">
        <v>532</v>
      </c>
      <c r="B6" s="40" t="s">
        <v>531</v>
      </c>
      <c r="C6" s="42" t="s">
        <v>530</v>
      </c>
      <c r="D6" s="42" t="s">
        <v>544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ht="15.5" x14ac:dyDescent="0.35">
      <c r="A7" t="s">
        <v>529</v>
      </c>
      <c r="B7" s="40" t="s">
        <v>528</v>
      </c>
      <c r="C7" s="42" t="s">
        <v>527</v>
      </c>
      <c r="D7" s="42" t="s">
        <v>544</v>
      </c>
      <c r="E7" s="41">
        <f>assets!J12-assets!J10-assets!J8</f>
        <v>9166677</v>
      </c>
      <c r="F7" s="41">
        <f>assets!K12-assets!K10-assets!K8</f>
        <v>8425516</v>
      </c>
      <c r="G7" s="41">
        <f>assets!L12-assets!L10-assets!L8</f>
        <v>15317181</v>
      </c>
      <c r="H7" s="41">
        <f>assets!M12-assets!M10-assets!M8</f>
        <v>12238647</v>
      </c>
      <c r="I7" s="41">
        <f>assets!N12-assets!N10-assets!N8</f>
        <v>3582953</v>
      </c>
      <c r="J7" s="41">
        <f>assets!O12-assets!O10-assets!O8</f>
        <v>2781538</v>
      </c>
      <c r="K7" s="41">
        <f>assets!P12-assets!P10-assets!P8</f>
        <v>3241608</v>
      </c>
      <c r="L7" s="41">
        <f>assets!Q12-assets!Q10-assets!Q8</f>
        <v>4005039</v>
      </c>
      <c r="M7" s="41">
        <f>assets!R12-assets!R10-assets!R8</f>
        <v>11038586</v>
      </c>
      <c r="N7" s="41">
        <f>assets!S12-assets!S10-assets!S8</f>
        <v>10727469</v>
      </c>
      <c r="O7" s="41">
        <f>assets!T12-assets!T10-assets!T8</f>
        <v>10912996</v>
      </c>
      <c r="P7" s="41">
        <f>assets!U12-assets!U10-assets!U8</f>
        <v>10983068</v>
      </c>
      <c r="Q7" s="41">
        <f>assets!V12-assets!V10-assets!V8</f>
        <v>10002641</v>
      </c>
      <c r="R7" s="41">
        <f>assets!W12-assets!W10-assets!W8</f>
        <v>15811532</v>
      </c>
      <c r="S7" s="41">
        <f>assets!X12-assets!X10-assets!X8</f>
        <v>19558282</v>
      </c>
      <c r="T7" s="41">
        <f>assets!Y12-assets!Y10-assets!Y8</f>
        <v>21105374</v>
      </c>
      <c r="U7" s="41">
        <f>assets!Z12-assets!Z10-assets!Z8</f>
        <v>19813264</v>
      </c>
      <c r="V7" s="41">
        <f>assets!AA12-assets!AA10-assets!AA8</f>
        <v>20351911</v>
      </c>
      <c r="W7" s="41">
        <f>assets!AB12-assets!AB10-assets!AB8</f>
        <v>24047294</v>
      </c>
      <c r="X7" s="41">
        <f>assets!AC12-assets!AC10-assets!AC8</f>
        <v>25649586</v>
      </c>
    </row>
    <row r="8" spans="1:24" ht="15.5" x14ac:dyDescent="0.35">
      <c r="A8" t="s">
        <v>526</v>
      </c>
      <c r="B8" s="40" t="s">
        <v>525</v>
      </c>
      <c r="C8" s="42" t="s">
        <v>524</v>
      </c>
      <c r="D8" s="42" t="s">
        <v>544</v>
      </c>
      <c r="E8" s="41">
        <f>assets!J42</f>
        <v>8487885</v>
      </c>
      <c r="F8" s="41">
        <f>assets!K42</f>
        <v>6852986</v>
      </c>
      <c r="G8" s="41">
        <f>assets!L42</f>
        <v>16417071</v>
      </c>
      <c r="H8" s="41">
        <f>assets!M42</f>
        <v>14022690</v>
      </c>
      <c r="I8" s="41">
        <f>assets!N42</f>
        <v>2373608</v>
      </c>
      <c r="J8" s="41">
        <f>assets!O42</f>
        <v>3190110</v>
      </c>
      <c r="K8" s="41">
        <f>assets!P42</f>
        <v>3403878</v>
      </c>
      <c r="L8" s="41">
        <f>assets!Q42</f>
        <v>3621029</v>
      </c>
      <c r="M8" s="41">
        <f>assets!R42</f>
        <v>3433790</v>
      </c>
      <c r="N8" s="41">
        <f>assets!S42</f>
        <v>3351112</v>
      </c>
      <c r="O8" s="41">
        <f>assets!T42</f>
        <v>2592269</v>
      </c>
      <c r="P8" s="41">
        <f>assets!U42</f>
        <v>4570299</v>
      </c>
      <c r="Q8" s="41">
        <f>assets!V42</f>
        <v>4397137</v>
      </c>
      <c r="R8" s="41">
        <f>assets!W42</f>
        <v>5846245</v>
      </c>
      <c r="S8" s="41">
        <f>assets!X42</f>
        <v>4942052</v>
      </c>
      <c r="T8" s="41">
        <f>assets!Y42</f>
        <v>7430215</v>
      </c>
      <c r="U8" s="41">
        <f>assets!Z42</f>
        <v>4960799</v>
      </c>
      <c r="V8" s="41">
        <f>assets!AA42</f>
        <v>5936544</v>
      </c>
      <c r="W8" s="41">
        <f>assets!AB42</f>
        <v>5304792</v>
      </c>
      <c r="X8" s="41">
        <f>assets!AC42</f>
        <v>7496258</v>
      </c>
    </row>
    <row r="9" spans="1:24" ht="15.5" x14ac:dyDescent="0.35">
      <c r="A9" t="s">
        <v>523</v>
      </c>
      <c r="B9" s="40" t="s">
        <v>522</v>
      </c>
      <c r="C9" s="42" t="s">
        <v>521</v>
      </c>
      <c r="D9" s="42" t="s">
        <v>544</v>
      </c>
      <c r="E9" s="41">
        <f>assets!J3</f>
        <v>805971</v>
      </c>
      <c r="F9" s="41">
        <f>assets!K3</f>
        <v>675296</v>
      </c>
      <c r="G9" s="41">
        <f>assets!L3</f>
        <v>2684517</v>
      </c>
      <c r="H9" s="41">
        <f>assets!M3</f>
        <v>826934</v>
      </c>
      <c r="I9" s="41">
        <f>assets!N3</f>
        <v>2364900</v>
      </c>
      <c r="J9" s="41">
        <f>assets!O3</f>
        <v>1673624</v>
      </c>
      <c r="K9" s="41">
        <f>assets!P3</f>
        <v>1988027</v>
      </c>
      <c r="L9" s="41">
        <f>assets!Q3</f>
        <v>1695717</v>
      </c>
      <c r="M9" s="41">
        <f>assets!R3</f>
        <v>7826411</v>
      </c>
      <c r="N9" s="41">
        <f>assets!S3</f>
        <v>7160432</v>
      </c>
      <c r="O9" s="41">
        <f>assets!T3</f>
        <v>5561465</v>
      </c>
      <c r="P9" s="41">
        <f>assets!U3</f>
        <v>5876463</v>
      </c>
      <c r="Q9" s="41">
        <f>assets!V3</f>
        <v>5466860</v>
      </c>
      <c r="R9" s="41">
        <f>assets!W3</f>
        <v>12568624</v>
      </c>
      <c r="S9" s="41">
        <f>assets!X3</f>
        <v>13870685</v>
      </c>
      <c r="T9" s="41">
        <f>assets!Y3</f>
        <v>15717864</v>
      </c>
      <c r="U9" s="41">
        <f>assets!Z3</f>
        <v>14376069</v>
      </c>
      <c r="V9" s="41">
        <f>assets!AA3</f>
        <v>15407934</v>
      </c>
      <c r="W9" s="41">
        <f>assets!AB3</f>
        <v>19136396</v>
      </c>
      <c r="X9" s="41">
        <f>assets!AC3</f>
        <v>18330441</v>
      </c>
    </row>
    <row r="10" spans="1:24" ht="15.5" x14ac:dyDescent="0.35">
      <c r="A10" t="s">
        <v>520</v>
      </c>
      <c r="B10" s="40" t="s">
        <v>519</v>
      </c>
      <c r="C10" s="42" t="s">
        <v>518</v>
      </c>
      <c r="D10" s="42" t="s">
        <v>544</v>
      </c>
      <c r="E10" s="41">
        <f>-assets!J20</f>
        <v>0</v>
      </c>
      <c r="F10" s="41">
        <f>-assets!K20</f>
        <v>0</v>
      </c>
      <c r="G10" s="41">
        <f>-assets!L20</f>
        <v>0</v>
      </c>
      <c r="H10" s="41">
        <f>-assets!M20</f>
        <v>0</v>
      </c>
      <c r="I10" s="41">
        <f>-assets!N20</f>
        <v>1520949</v>
      </c>
      <c r="J10" s="41">
        <f>-assets!O20</f>
        <v>1903622</v>
      </c>
      <c r="K10" s="41">
        <f>-assets!P20</f>
        <v>2376417</v>
      </c>
      <c r="L10" s="41">
        <f>-assets!Q20</f>
        <v>2962761</v>
      </c>
      <c r="M10" s="41">
        <f>-assets!R20</f>
        <v>3587846</v>
      </c>
      <c r="N10" s="41">
        <f>-assets!S20</f>
        <v>4258962</v>
      </c>
      <c r="O10" s="41">
        <f>-assets!T20</f>
        <v>5164324</v>
      </c>
      <c r="P10" s="41">
        <f>-assets!U20</f>
        <v>6244764</v>
      </c>
      <c r="Q10" s="41">
        <f>-assets!V20</f>
        <v>7516037</v>
      </c>
      <c r="R10" s="41">
        <f>-assets!W20</f>
        <v>9163292</v>
      </c>
      <c r="S10" s="41">
        <f>-assets!X20</f>
        <v>10985980</v>
      </c>
      <c r="T10" s="41">
        <f>-assets!Y20</f>
        <v>13516259</v>
      </c>
      <c r="U10" s="41">
        <f>-assets!Z20</f>
        <v>16459492</v>
      </c>
      <c r="V10" s="41">
        <f>-assets!AA20</f>
        <v>19406174</v>
      </c>
      <c r="W10" s="41">
        <f>-assets!AB20</f>
        <v>22711009</v>
      </c>
      <c r="X10" s="41">
        <f>-assets!AC20</f>
        <v>26515258</v>
      </c>
    </row>
    <row r="11" spans="1:24" ht="15.5" x14ac:dyDescent="0.35">
      <c r="A11" t="s">
        <v>517</v>
      </c>
      <c r="B11" s="40" t="s">
        <v>516</v>
      </c>
      <c r="C11" s="42" t="s">
        <v>515</v>
      </c>
      <c r="D11" s="42" t="s">
        <v>544</v>
      </c>
      <c r="E11" s="41">
        <f>assets!J19</f>
        <v>0</v>
      </c>
      <c r="F11" s="41">
        <f>assets!K19</f>
        <v>0</v>
      </c>
      <c r="G11" s="41">
        <f>assets!L19</f>
        <v>0</v>
      </c>
      <c r="H11" s="41">
        <f>assets!M19</f>
        <v>0</v>
      </c>
      <c r="I11" s="41">
        <f>assets!N19</f>
        <v>8819678</v>
      </c>
      <c r="J11" s="41">
        <f>assets!O19</f>
        <v>11289507</v>
      </c>
      <c r="K11" s="41">
        <f>assets!P19</f>
        <v>13543507</v>
      </c>
      <c r="L11" s="41">
        <f>assets!Q19</f>
        <v>15094108</v>
      </c>
      <c r="M11" s="41">
        <f>assets!R19</f>
        <v>18367887</v>
      </c>
      <c r="N11" s="41">
        <f>assets!S19</f>
        <v>19509511</v>
      </c>
      <c r="O11" s="41">
        <f>assets!T19</f>
        <v>20569916</v>
      </c>
      <c r="P11" s="41">
        <f>assets!U19</f>
        <v>34684238</v>
      </c>
      <c r="Q11" s="41">
        <f>assets!V19</f>
        <v>43067895</v>
      </c>
      <c r="R11" s="41">
        <f>assets!W19</f>
        <v>50405403</v>
      </c>
      <c r="S11" s="41">
        <f>assets!X19</f>
        <v>58535804</v>
      </c>
      <c r="T11" s="41">
        <f>assets!Y19</f>
        <v>57799089</v>
      </c>
      <c r="U11" s="41">
        <f>assets!Z19</f>
        <v>63115382</v>
      </c>
      <c r="V11" s="41">
        <f>assets!AA19</f>
        <v>64176542</v>
      </c>
      <c r="W11" s="41">
        <f>assets!AB19</f>
        <v>71844909</v>
      </c>
      <c r="X11" s="41">
        <f>assets!AC19</f>
        <v>74908367</v>
      </c>
    </row>
    <row r="12" spans="1:24" ht="15.5" x14ac:dyDescent="0.35">
      <c r="A12" t="s">
        <v>514</v>
      </c>
      <c r="B12" s="40" t="s">
        <v>432</v>
      </c>
      <c r="E12" s="41">
        <f>assets!J29</f>
        <v>9709456</v>
      </c>
      <c r="F12" s="41">
        <f>assets!K29</f>
        <v>8635467</v>
      </c>
      <c r="G12" s="41">
        <f>assets!L29</f>
        <v>15789211</v>
      </c>
      <c r="H12" s="41">
        <f>assets!M29</f>
        <v>14553203</v>
      </c>
      <c r="I12" s="41">
        <f>assets!N29</f>
        <v>31867380</v>
      </c>
      <c r="J12" s="41">
        <f>assets!O29</f>
        <v>30708071</v>
      </c>
      <c r="K12" s="41">
        <f>assets!P29</f>
        <v>28801924</v>
      </c>
      <c r="L12" s="41">
        <f>assets!Q29</f>
        <v>29473464</v>
      </c>
      <c r="M12" s="41">
        <f>assets!R29</f>
        <v>58887750</v>
      </c>
      <c r="N12" s="41">
        <f>assets!S29</f>
        <v>55864208</v>
      </c>
      <c r="O12" s="41">
        <f>assets!T29</f>
        <v>50267584</v>
      </c>
      <c r="P12" s="41">
        <f>assets!U29</f>
        <v>59319935</v>
      </c>
      <c r="Q12" s="41">
        <f>assets!V29</f>
        <v>104200263</v>
      </c>
      <c r="R12" s="41">
        <f>assets!W29</f>
        <v>104634377</v>
      </c>
      <c r="S12" s="41">
        <f>assets!X29</f>
        <v>103667832</v>
      </c>
      <c r="T12" s="41">
        <f>assets!Y29</f>
        <v>102198920</v>
      </c>
      <c r="U12" s="41">
        <f>assets!Z29</f>
        <v>97616721</v>
      </c>
      <c r="V12" s="41">
        <f>assets!AA29</f>
        <v>97420788</v>
      </c>
      <c r="W12" s="41">
        <f>assets!AB29</f>
        <v>96693742</v>
      </c>
      <c r="X12" s="41">
        <f>assets!AC29</f>
        <v>102255546</v>
      </c>
    </row>
    <row r="13" spans="1:24" ht="15.5" x14ac:dyDescent="0.35">
      <c r="A13" t="s">
        <v>513</v>
      </c>
      <c r="B13" s="40" t="s">
        <v>451</v>
      </c>
      <c r="E13" s="41" t="str">
        <f>assets!J48</f>
        <v>NA</v>
      </c>
      <c r="F13" s="41" t="str">
        <f>assets!K48</f>
        <v>NA</v>
      </c>
      <c r="G13" s="41" t="str">
        <f>assets!L48</f>
        <v>NA</v>
      </c>
      <c r="H13" s="41" t="str">
        <f>assets!M48</f>
        <v>NA</v>
      </c>
      <c r="I13" s="41">
        <f>assets!N48</f>
        <v>29302813</v>
      </c>
      <c r="J13" s="41">
        <f>assets!O48</f>
        <v>28990124</v>
      </c>
      <c r="K13" s="41">
        <f>assets!P48</f>
        <v>28075320</v>
      </c>
      <c r="L13" s="41">
        <f>assets!Q48</f>
        <v>27159644</v>
      </c>
      <c r="M13" s="41">
        <f>assets!R48</f>
        <v>51727531</v>
      </c>
      <c r="N13" s="41">
        <f>assets!S48</f>
        <v>50459154</v>
      </c>
      <c r="O13" s="41">
        <f>assets!T48</f>
        <v>48733517</v>
      </c>
      <c r="P13" s="41">
        <f>assets!U48</f>
        <v>53269413</v>
      </c>
      <c r="Q13" s="41">
        <f>assets!V48</f>
        <v>100661924</v>
      </c>
      <c r="R13" s="41">
        <f>assets!W48</f>
        <v>101207660</v>
      </c>
      <c r="S13" s="41">
        <f>assets!X48</f>
        <v>98007785</v>
      </c>
      <c r="T13" s="41">
        <f>assets!Y48</f>
        <v>97817118</v>
      </c>
      <c r="U13" s="41">
        <f>assets!Z48</f>
        <v>95207151</v>
      </c>
      <c r="V13" s="41">
        <f>assets!AA48</f>
        <v>93137439</v>
      </c>
      <c r="W13" s="41">
        <f>assets!AB48</f>
        <v>89321881</v>
      </c>
      <c r="X13" s="41">
        <f>assets!AC48</f>
        <v>88292770</v>
      </c>
    </row>
    <row r="14" spans="1:24" ht="15.5" x14ac:dyDescent="0.35">
      <c r="A14" t="s">
        <v>512</v>
      </c>
      <c r="B14" s="40" t="s">
        <v>511</v>
      </c>
      <c r="E14" s="41"/>
      <c r="F14" s="41"/>
      <c r="G14" s="41"/>
      <c r="H14" s="41"/>
      <c r="I14" s="41"/>
      <c r="J14" s="41">
        <f>J11-I11+J4</f>
        <v>2852502</v>
      </c>
      <c r="K14" s="41">
        <f t="shared" ref="K14:X14" si="0">K11-J11+K4</f>
        <v>2726796</v>
      </c>
      <c r="L14" s="41">
        <f t="shared" si="0"/>
        <v>2136945</v>
      </c>
      <c r="M14" s="41">
        <f t="shared" si="0"/>
        <v>3898864</v>
      </c>
      <c r="N14" s="41">
        <f t="shared" si="0"/>
        <v>1812740</v>
      </c>
      <c r="O14" s="41">
        <f t="shared" si="0"/>
        <v>1965767</v>
      </c>
      <c r="P14" s="41">
        <f t="shared" si="0"/>
        <v>15194762</v>
      </c>
      <c r="Q14" s="41">
        <f t="shared" si="0"/>
        <v>9654930</v>
      </c>
      <c r="R14" s="41">
        <f t="shared" si="0"/>
        <v>8984763</v>
      </c>
      <c r="S14" s="41">
        <f t="shared" si="0"/>
        <v>9953089</v>
      </c>
      <c r="T14" s="41">
        <f t="shared" si="0"/>
        <v>1793564</v>
      </c>
      <c r="U14" s="41">
        <f t="shared" si="0"/>
        <v>8259526</v>
      </c>
      <c r="V14" s="41">
        <f t="shared" si="0"/>
        <v>2258162</v>
      </c>
      <c r="W14" s="41">
        <f t="shared" si="0"/>
        <v>10973202</v>
      </c>
      <c r="X14" s="41">
        <f t="shared" si="0"/>
        <v>6935897</v>
      </c>
    </row>
    <row r="16" spans="1:24" ht="15.5" x14ac:dyDescent="0.35">
      <c r="B16" s="39" t="s">
        <v>510</v>
      </c>
      <c r="C16" s="38" t="s">
        <v>509</v>
      </c>
      <c r="D16" s="43"/>
    </row>
    <row r="17" spans="1:37" ht="29" x14ac:dyDescent="0.35">
      <c r="B17" t="s">
        <v>508</v>
      </c>
      <c r="C17" s="36" t="s">
        <v>507</v>
      </c>
      <c r="D17" s="36"/>
      <c r="E17" s="44">
        <f t="shared" ref="E17:AK17" si="1">IFERROR(E2/E3, "")</f>
        <v>0.96339951997503048</v>
      </c>
      <c r="F17" s="44">
        <f t="shared" si="1"/>
        <v>1.0504324785998671</v>
      </c>
      <c r="G17" s="44">
        <f t="shared" si="1"/>
        <v>0.97117308021382265</v>
      </c>
      <c r="H17" s="44">
        <f t="shared" si="1"/>
        <v>0.97915451882932103</v>
      </c>
      <c r="I17" s="44">
        <f t="shared" si="1"/>
        <v>0.9481168603549337</v>
      </c>
      <c r="J17" s="44">
        <f t="shared" si="1"/>
        <v>0.95396130436832061</v>
      </c>
      <c r="K17" s="44">
        <f t="shared" si="1"/>
        <v>0.93165898338886788</v>
      </c>
      <c r="L17" s="44">
        <f t="shared" si="1"/>
        <v>1.0513561461755474</v>
      </c>
      <c r="M17" s="44">
        <f t="shared" si="1"/>
        <v>1.1874918563216661</v>
      </c>
      <c r="N17" s="44">
        <f t="shared" si="1"/>
        <v>1.1390092724765808</v>
      </c>
      <c r="O17" s="44">
        <f t="shared" si="1"/>
        <v>1.1933517713272546</v>
      </c>
      <c r="P17" s="44">
        <f t="shared" si="1"/>
        <v>1.0910136004437703</v>
      </c>
      <c r="Q17" s="44">
        <f t="shared" si="1"/>
        <v>1.1010442286017712</v>
      </c>
      <c r="R17" s="44">
        <f t="shared" si="1"/>
        <v>1.1766237319031556</v>
      </c>
      <c r="S17" s="44">
        <f t="shared" si="1"/>
        <v>1.3996629932399942</v>
      </c>
      <c r="T17" s="44">
        <f t="shared" si="1"/>
        <v>1.1126639646879557</v>
      </c>
      <c r="U17" s="44">
        <f t="shared" si="1"/>
        <v>1.0672129754780106</v>
      </c>
      <c r="V17" s="44">
        <f t="shared" si="1"/>
        <v>1.2215002844126461</v>
      </c>
      <c r="W17" s="44">
        <f t="shared" si="1"/>
        <v>1.221078787803098</v>
      </c>
      <c r="X17" s="44">
        <f t="shared" si="1"/>
        <v>1.1085024631027485</v>
      </c>
      <c r="Y17" s="44" t="str">
        <f t="shared" si="1"/>
        <v/>
      </c>
      <c r="Z17" s="44" t="str">
        <f t="shared" si="1"/>
        <v/>
      </c>
      <c r="AA17" s="44" t="str">
        <f t="shared" si="1"/>
        <v/>
      </c>
      <c r="AB17" s="44" t="str">
        <f t="shared" si="1"/>
        <v/>
      </c>
      <c r="AC17" s="44" t="str">
        <f t="shared" si="1"/>
        <v/>
      </c>
      <c r="AD17" s="44" t="str">
        <f t="shared" si="1"/>
        <v/>
      </c>
      <c r="AE17" s="44" t="str">
        <f t="shared" si="1"/>
        <v/>
      </c>
      <c r="AF17" s="44" t="str">
        <f t="shared" si="1"/>
        <v/>
      </c>
      <c r="AG17" s="44" t="str">
        <f t="shared" si="1"/>
        <v/>
      </c>
      <c r="AH17" s="44" t="str">
        <f t="shared" si="1"/>
        <v/>
      </c>
      <c r="AI17" s="44" t="str">
        <f t="shared" si="1"/>
        <v/>
      </c>
      <c r="AJ17" s="44" t="str">
        <f t="shared" si="1"/>
        <v/>
      </c>
      <c r="AK17" s="44" t="str">
        <f t="shared" si="1"/>
        <v/>
      </c>
    </row>
    <row r="18" spans="1:37" ht="29" x14ac:dyDescent="0.35">
      <c r="B18" t="s">
        <v>506</v>
      </c>
      <c r="C18" s="36" t="s">
        <v>505</v>
      </c>
      <c r="D18" s="36"/>
      <c r="E18" s="44">
        <f t="shared" ref="E18:AK18" si="2">IFERROR(IF(E4="","",E2/(E3-E4)), "")</f>
        <v>0.97636494928790651</v>
      </c>
      <c r="F18" s="44">
        <f t="shared" si="2"/>
        <v>1.0729080000520874</v>
      </c>
      <c r="G18" s="44">
        <f t="shared" si="2"/>
        <v>0.99504487465491342</v>
      </c>
      <c r="H18" s="44">
        <f t="shared" si="2"/>
        <v>1.0065483221573959</v>
      </c>
      <c r="I18" s="44">
        <f t="shared" si="2"/>
        <v>0.97767704132731192</v>
      </c>
      <c r="J18" s="44">
        <f t="shared" si="2"/>
        <v>0.98288380049697965</v>
      </c>
      <c r="K18" s="44">
        <f t="shared" si="2"/>
        <v>0.96636305649783749</v>
      </c>
      <c r="L18" s="44">
        <f t="shared" si="2"/>
        <v>1.0974417006377002</v>
      </c>
      <c r="M18" s="44">
        <f t="shared" si="2"/>
        <v>1.2390874704646191</v>
      </c>
      <c r="N18" s="44">
        <f t="shared" si="2"/>
        <v>1.1910117993034695</v>
      </c>
      <c r="O18" s="44">
        <f t="shared" si="2"/>
        <v>1.2648442777162532</v>
      </c>
      <c r="P18" s="44">
        <f t="shared" si="2"/>
        <v>1.1559300231342682</v>
      </c>
      <c r="Q18" s="44">
        <f t="shared" si="2"/>
        <v>1.1702550558946556</v>
      </c>
      <c r="R18" s="44">
        <f t="shared" si="2"/>
        <v>1.2790752549567457</v>
      </c>
      <c r="S18" s="44">
        <f t="shared" si="2"/>
        <v>1.5471200333114385</v>
      </c>
      <c r="T18" s="44">
        <f t="shared" si="2"/>
        <v>1.2454898826606604</v>
      </c>
      <c r="U18" s="44">
        <f t="shared" si="2"/>
        <v>1.2037873511269315</v>
      </c>
      <c r="V18" s="44">
        <f t="shared" si="2"/>
        <v>1.2821326577209062</v>
      </c>
      <c r="W18" s="44">
        <f t="shared" si="2"/>
        <v>1.4045274190535622</v>
      </c>
      <c r="X18" s="44">
        <f t="shared" si="2"/>
        <v>1.2894755891427967</v>
      </c>
      <c r="Y18" s="44" t="str">
        <f t="shared" si="2"/>
        <v/>
      </c>
      <c r="Z18" s="44" t="str">
        <f t="shared" si="2"/>
        <v/>
      </c>
      <c r="AA18" s="44" t="str">
        <f t="shared" si="2"/>
        <v/>
      </c>
      <c r="AB18" s="44" t="str">
        <f t="shared" si="2"/>
        <v/>
      </c>
      <c r="AC18" s="44" t="str">
        <f t="shared" si="2"/>
        <v/>
      </c>
      <c r="AD18" s="44" t="str">
        <f t="shared" si="2"/>
        <v/>
      </c>
      <c r="AE18" s="44" t="str">
        <f t="shared" si="2"/>
        <v/>
      </c>
      <c r="AF18" s="44" t="str">
        <f t="shared" si="2"/>
        <v/>
      </c>
      <c r="AG18" s="44" t="str">
        <f t="shared" si="2"/>
        <v/>
      </c>
      <c r="AH18" s="44" t="str">
        <f t="shared" si="2"/>
        <v/>
      </c>
      <c r="AI18" s="44" t="str">
        <f t="shared" si="2"/>
        <v/>
      </c>
      <c r="AJ18" s="44" t="str">
        <f t="shared" si="2"/>
        <v/>
      </c>
      <c r="AK18" s="44" t="str">
        <f t="shared" si="2"/>
        <v/>
      </c>
    </row>
    <row r="19" spans="1:37" ht="29" x14ac:dyDescent="0.35">
      <c r="B19" t="s">
        <v>504</v>
      </c>
      <c r="C19" s="37" t="s">
        <v>545</v>
      </c>
      <c r="D19" s="37"/>
      <c r="E19" s="44" t="str">
        <f t="shared" ref="E19:AK19" si="3">IF(E4="","",IF(E5="","",IF(E6="","",(E2-E3+E4)/(E5+E6))))</f>
        <v/>
      </c>
      <c r="F19" s="44" t="str">
        <f t="shared" si="3"/>
        <v/>
      </c>
      <c r="G19" s="44" t="str">
        <f t="shared" si="3"/>
        <v/>
      </c>
      <c r="H19" s="44" t="str">
        <f t="shared" si="3"/>
        <v/>
      </c>
      <c r="I19" s="44" t="str">
        <f t="shared" si="3"/>
        <v/>
      </c>
      <c r="J19" s="44" t="str">
        <f t="shared" si="3"/>
        <v/>
      </c>
      <c r="K19" s="44" t="str">
        <f t="shared" si="3"/>
        <v/>
      </c>
      <c r="L19" s="44" t="str">
        <f t="shared" si="3"/>
        <v/>
      </c>
      <c r="M19" s="44" t="str">
        <f t="shared" si="3"/>
        <v/>
      </c>
      <c r="N19" s="44" t="str">
        <f t="shared" si="3"/>
        <v/>
      </c>
      <c r="O19" s="44" t="str">
        <f t="shared" si="3"/>
        <v/>
      </c>
      <c r="P19" s="44" t="str">
        <f t="shared" si="3"/>
        <v/>
      </c>
      <c r="Q19" s="44" t="str">
        <f t="shared" si="3"/>
        <v/>
      </c>
      <c r="R19" s="44" t="str">
        <f t="shared" si="3"/>
        <v/>
      </c>
      <c r="S19" s="44" t="str">
        <f t="shared" si="3"/>
        <v/>
      </c>
      <c r="T19" s="44" t="str">
        <f t="shared" si="3"/>
        <v/>
      </c>
      <c r="U19" s="44" t="str">
        <f t="shared" si="3"/>
        <v/>
      </c>
      <c r="V19" s="44" t="str">
        <f t="shared" si="3"/>
        <v/>
      </c>
      <c r="W19" s="44" t="str">
        <f t="shared" si="3"/>
        <v/>
      </c>
      <c r="X19" s="44" t="str">
        <f t="shared" si="3"/>
        <v/>
      </c>
      <c r="Y19" s="44" t="str">
        <f t="shared" si="3"/>
        <v/>
      </c>
      <c r="Z19" s="44" t="str">
        <f t="shared" si="3"/>
        <v/>
      </c>
      <c r="AA19" s="44" t="str">
        <f t="shared" si="3"/>
        <v/>
      </c>
      <c r="AB19" s="44" t="str">
        <f t="shared" si="3"/>
        <v/>
      </c>
      <c r="AC19" s="44" t="str">
        <f t="shared" si="3"/>
        <v/>
      </c>
      <c r="AD19" s="44" t="str">
        <f t="shared" si="3"/>
        <v/>
      </c>
      <c r="AE19" s="44" t="str">
        <f t="shared" si="3"/>
        <v/>
      </c>
      <c r="AF19" s="44" t="str">
        <f t="shared" si="3"/>
        <v/>
      </c>
      <c r="AG19" s="44" t="str">
        <f t="shared" si="3"/>
        <v/>
      </c>
      <c r="AH19" s="44" t="str">
        <f t="shared" si="3"/>
        <v/>
      </c>
      <c r="AI19" s="44" t="str">
        <f t="shared" si="3"/>
        <v/>
      </c>
      <c r="AJ19" s="44" t="str">
        <f t="shared" si="3"/>
        <v/>
      </c>
      <c r="AK19" s="44" t="str">
        <f t="shared" si="3"/>
        <v/>
      </c>
    </row>
    <row r="20" spans="1:37" ht="29" x14ac:dyDescent="0.35">
      <c r="B20" t="s">
        <v>503</v>
      </c>
      <c r="C20" s="37" t="s">
        <v>502</v>
      </c>
      <c r="D20" s="37"/>
      <c r="E20" s="44">
        <f>IFERROR(IF(E7=0,"",E7/E8), "")</f>
        <v>1.0799718657828188</v>
      </c>
      <c r="F20" s="44">
        <f t="shared" ref="F20:AK20" si="4">IFERROR(IF(F7=0,"",F7/F8), "")</f>
        <v>1.2294663961082075</v>
      </c>
      <c r="G20" s="44">
        <f t="shared" si="4"/>
        <v>0.93300327445742304</v>
      </c>
      <c r="H20" s="44">
        <f t="shared" si="4"/>
        <v>0.87277455324192432</v>
      </c>
      <c r="I20" s="44">
        <f t="shared" si="4"/>
        <v>1.5094965133248623</v>
      </c>
      <c r="J20" s="44">
        <f t="shared" si="4"/>
        <v>0.87192541949964109</v>
      </c>
      <c r="K20" s="44">
        <f t="shared" si="4"/>
        <v>0.95232790364402009</v>
      </c>
      <c r="L20" s="44">
        <f t="shared" si="4"/>
        <v>1.1060499653551519</v>
      </c>
      <c r="M20" s="44">
        <f t="shared" si="4"/>
        <v>3.2146945503365085</v>
      </c>
      <c r="N20" s="44">
        <f t="shared" si="4"/>
        <v>3.2011669559238842</v>
      </c>
      <c r="O20" s="44">
        <f t="shared" si="4"/>
        <v>4.2098239033063312</v>
      </c>
      <c r="P20" s="44">
        <f t="shared" si="4"/>
        <v>2.4031399258560544</v>
      </c>
      <c r="Q20" s="44">
        <f t="shared" si="4"/>
        <v>2.2748076759946301</v>
      </c>
      <c r="R20" s="44">
        <f t="shared" si="4"/>
        <v>2.704561988079528</v>
      </c>
      <c r="S20" s="44">
        <f t="shared" si="4"/>
        <v>3.9575225027984327</v>
      </c>
      <c r="T20" s="44">
        <f t="shared" si="4"/>
        <v>2.8404795823539426</v>
      </c>
      <c r="U20" s="44">
        <f t="shared" si="4"/>
        <v>3.9939662945424721</v>
      </c>
      <c r="V20" s="44">
        <f t="shared" si="4"/>
        <v>3.4282422567743116</v>
      </c>
      <c r="W20" s="44">
        <f t="shared" si="4"/>
        <v>4.5331266522796749</v>
      </c>
      <c r="X20" s="44">
        <f t="shared" si="4"/>
        <v>3.4216519762260051</v>
      </c>
      <c r="Y20" s="44" t="str">
        <f t="shared" si="4"/>
        <v/>
      </c>
      <c r="Z20" s="44" t="str">
        <f t="shared" si="4"/>
        <v/>
      </c>
      <c r="AA20" s="44" t="str">
        <f t="shared" si="4"/>
        <v/>
      </c>
      <c r="AB20" s="44" t="str">
        <f t="shared" si="4"/>
        <v/>
      </c>
      <c r="AC20" s="44" t="str">
        <f t="shared" si="4"/>
        <v/>
      </c>
      <c r="AD20" s="44" t="str">
        <f t="shared" si="4"/>
        <v/>
      </c>
      <c r="AE20" s="44" t="str">
        <f t="shared" si="4"/>
        <v/>
      </c>
      <c r="AF20" s="44" t="str">
        <f t="shared" si="4"/>
        <v/>
      </c>
      <c r="AG20" s="44" t="str">
        <f t="shared" si="4"/>
        <v/>
      </c>
      <c r="AH20" s="44" t="str">
        <f t="shared" si="4"/>
        <v/>
      </c>
      <c r="AI20" s="44" t="str">
        <f t="shared" si="4"/>
        <v/>
      </c>
      <c r="AJ20" s="44" t="str">
        <f t="shared" si="4"/>
        <v/>
      </c>
      <c r="AK20" s="44" t="str">
        <f t="shared" si="4"/>
        <v/>
      </c>
    </row>
    <row r="21" spans="1:37" ht="29" x14ac:dyDescent="0.35">
      <c r="B21" t="s">
        <v>501</v>
      </c>
      <c r="C21" s="37" t="s">
        <v>500</v>
      </c>
      <c r="D21" s="37"/>
      <c r="E21" s="46">
        <f>IFERROR(IF(E9=0,"",IF(E4="","",IF(E9="","",E9/((E3-E4)/365)))),"")</f>
        <v>28.301280515715813</v>
      </c>
      <c r="F21" s="46">
        <f t="shared" ref="F21:AK21" si="5">IFERROR(IF(F9=0,"",IF(F4="","",IF(F9="","",F9/((F3-F4)/365)))),"")</f>
        <v>23.09116729713482</v>
      </c>
      <c r="G21" s="46">
        <f t="shared" si="5"/>
        <v>82.751404436379715</v>
      </c>
      <c r="H21" s="46">
        <f t="shared" si="5"/>
        <v>25.779468047580369</v>
      </c>
      <c r="I21" s="46">
        <f t="shared" si="5"/>
        <v>70.256837252572694</v>
      </c>
      <c r="J21" s="46">
        <f t="shared" si="5"/>
        <v>48.39805974467756</v>
      </c>
      <c r="K21" s="46">
        <f t="shared" si="5"/>
        <v>57.169556462541308</v>
      </c>
      <c r="L21" s="46">
        <f t="shared" si="5"/>
        <v>46.270981531803862</v>
      </c>
      <c r="M21" s="46">
        <f t="shared" si="5"/>
        <v>198.56311818552305</v>
      </c>
      <c r="N21" s="46">
        <f t="shared" si="5"/>
        <v>177.7999700260425</v>
      </c>
      <c r="O21" s="46">
        <f t="shared" si="5"/>
        <v>134.32345419833186</v>
      </c>
      <c r="P21" s="46">
        <f t="shared" si="5"/>
        <v>118.12250032271665</v>
      </c>
      <c r="Q21" s="46">
        <f t="shared" si="5"/>
        <v>98.664579455537137</v>
      </c>
      <c r="R21" s="46">
        <f t="shared" si="5"/>
        <v>242.49376671967204</v>
      </c>
      <c r="S21" s="46">
        <f t="shared" si="5"/>
        <v>292.63109414018777</v>
      </c>
      <c r="T21" s="46">
        <f t="shared" si="5"/>
        <v>270.66791848758646</v>
      </c>
      <c r="U21" s="46">
        <f t="shared" si="5"/>
        <v>228.15316390965452</v>
      </c>
      <c r="V21" s="46">
        <f t="shared" si="5"/>
        <v>233.21334248842578</v>
      </c>
      <c r="W21" s="46">
        <f t="shared" si="5"/>
        <v>317.52214620497961</v>
      </c>
      <c r="X21" s="46">
        <f t="shared" si="5"/>
        <v>282.07111704169915</v>
      </c>
      <c r="Y21" s="46" t="str">
        <f t="shared" si="5"/>
        <v/>
      </c>
      <c r="Z21" s="46" t="str">
        <f t="shared" si="5"/>
        <v/>
      </c>
      <c r="AA21" s="46" t="str">
        <f t="shared" si="5"/>
        <v/>
      </c>
      <c r="AB21" s="46" t="str">
        <f t="shared" si="5"/>
        <v/>
      </c>
      <c r="AC21" s="46" t="str">
        <f t="shared" si="5"/>
        <v/>
      </c>
      <c r="AD21" s="46" t="str">
        <f t="shared" si="5"/>
        <v/>
      </c>
      <c r="AE21" s="46" t="str">
        <f t="shared" si="5"/>
        <v/>
      </c>
      <c r="AF21" s="46" t="str">
        <f t="shared" si="5"/>
        <v/>
      </c>
      <c r="AG21" s="46" t="str">
        <f t="shared" si="5"/>
        <v/>
      </c>
      <c r="AH21" s="46" t="str">
        <f t="shared" si="5"/>
        <v/>
      </c>
      <c r="AI21" s="46" t="str">
        <f t="shared" si="5"/>
        <v/>
      </c>
      <c r="AJ21" s="46" t="str">
        <f t="shared" si="5"/>
        <v/>
      </c>
      <c r="AK21" s="46" t="str">
        <f t="shared" si="5"/>
        <v/>
      </c>
    </row>
    <row r="22" spans="1:37" ht="29" x14ac:dyDescent="0.35">
      <c r="B22" t="s">
        <v>499</v>
      </c>
      <c r="C22" s="37" t="s">
        <v>498</v>
      </c>
      <c r="D22" s="37"/>
      <c r="E22" s="47" t="str">
        <f>IFERROR(IF(E10="","",E10/E11), "")</f>
        <v/>
      </c>
      <c r="F22" s="47" t="str">
        <f t="shared" ref="F22:AK22" si="6">IFERROR(IF(F10="","",F10/F11), "")</f>
        <v/>
      </c>
      <c r="G22" s="47" t="str">
        <f t="shared" si="6"/>
        <v/>
      </c>
      <c r="H22" s="47" t="str">
        <f t="shared" si="6"/>
        <v/>
      </c>
      <c r="I22" s="47">
        <f>IFERROR(IF(I10="","",I10/I11), "")</f>
        <v>0.1724494930540548</v>
      </c>
      <c r="J22" s="47">
        <f t="shared" si="6"/>
        <v>0.16861870053315881</v>
      </c>
      <c r="K22" s="47">
        <f t="shared" si="6"/>
        <v>0.17546540936553581</v>
      </c>
      <c r="L22" s="47">
        <f t="shared" si="6"/>
        <v>0.1962859282575691</v>
      </c>
      <c r="M22" s="47">
        <f t="shared" si="6"/>
        <v>0.19533253879447321</v>
      </c>
      <c r="N22" s="47">
        <f t="shared" si="6"/>
        <v>0.21830183237293851</v>
      </c>
      <c r="O22" s="47">
        <f t="shared" si="6"/>
        <v>0.25106198780782574</v>
      </c>
      <c r="P22" s="47">
        <f t="shared" si="6"/>
        <v>0.18004616390880493</v>
      </c>
      <c r="Q22" s="47">
        <f t="shared" si="6"/>
        <v>0.17451600548389931</v>
      </c>
      <c r="R22" s="47">
        <f t="shared" si="6"/>
        <v>0.18179186068604589</v>
      </c>
      <c r="S22" s="47">
        <f t="shared" si="6"/>
        <v>0.1876796635440422</v>
      </c>
      <c r="T22" s="47">
        <f t="shared" si="6"/>
        <v>0.23384899717018032</v>
      </c>
      <c r="U22" s="47">
        <f t="shared" si="6"/>
        <v>0.26078416193377391</v>
      </c>
      <c r="V22" s="47">
        <f t="shared" si="6"/>
        <v>0.30238734271472589</v>
      </c>
      <c r="W22" s="47">
        <f t="shared" si="6"/>
        <v>0.31611159810919937</v>
      </c>
      <c r="X22" s="47">
        <f t="shared" si="6"/>
        <v>0.35396924351588122</v>
      </c>
      <c r="Y22" s="47" t="str">
        <f t="shared" si="6"/>
        <v/>
      </c>
      <c r="Z22" s="47" t="str">
        <f t="shared" si="6"/>
        <v/>
      </c>
      <c r="AA22" s="47" t="str">
        <f t="shared" si="6"/>
        <v/>
      </c>
      <c r="AB22" s="47" t="str">
        <f t="shared" si="6"/>
        <v/>
      </c>
      <c r="AC22" s="47" t="str">
        <f t="shared" si="6"/>
        <v/>
      </c>
      <c r="AD22" s="47" t="str">
        <f t="shared" si="6"/>
        <v/>
      </c>
      <c r="AE22" s="47" t="str">
        <f t="shared" si="6"/>
        <v/>
      </c>
      <c r="AF22" s="47" t="str">
        <f t="shared" si="6"/>
        <v/>
      </c>
      <c r="AG22" s="47" t="str">
        <f t="shared" si="6"/>
        <v/>
      </c>
      <c r="AH22" s="47" t="str">
        <f t="shared" si="6"/>
        <v/>
      </c>
      <c r="AI22" s="47" t="str">
        <f t="shared" si="6"/>
        <v/>
      </c>
      <c r="AJ22" s="47" t="str">
        <f t="shared" si="6"/>
        <v/>
      </c>
      <c r="AK22" s="47" t="str">
        <f t="shared" si="6"/>
        <v/>
      </c>
    </row>
    <row r="23" spans="1:37" ht="29" x14ac:dyDescent="0.35">
      <c r="B23" t="s">
        <v>497</v>
      </c>
      <c r="C23" s="36" t="s">
        <v>496</v>
      </c>
      <c r="D23" s="36"/>
      <c r="E23" s="44" t="str">
        <f>IFERROR(IF(E12=0,"",IF(E13=0,"",E13/(E12-E13))),"")</f>
        <v/>
      </c>
      <c r="F23" s="44" t="str">
        <f t="shared" ref="F23:AK23" si="7">IFERROR(IF(F12=0,"",IF(F13=0,"",F13/(F12-F13))),"")</f>
        <v/>
      </c>
      <c r="G23" s="44" t="str">
        <f t="shared" si="7"/>
        <v/>
      </c>
      <c r="H23" s="44" t="str">
        <f t="shared" si="7"/>
        <v/>
      </c>
      <c r="I23" s="44">
        <f t="shared" si="7"/>
        <v>11.4260274736437</v>
      </c>
      <c r="J23" s="44">
        <f t="shared" si="7"/>
        <v>16.874865173372637</v>
      </c>
      <c r="K23" s="44">
        <f t="shared" si="7"/>
        <v>38.639093646608053</v>
      </c>
      <c r="L23" s="44">
        <f t="shared" si="7"/>
        <v>11.738010735493686</v>
      </c>
      <c r="M23" s="44">
        <f t="shared" si="7"/>
        <v>7.224294536242537</v>
      </c>
      <c r="N23" s="44">
        <f t="shared" si="7"/>
        <v>9.335550394131122</v>
      </c>
      <c r="O23" s="44">
        <f t="shared" si="7"/>
        <v>31.767528406516796</v>
      </c>
      <c r="P23" s="44">
        <f t="shared" si="7"/>
        <v>8.8041020262383967</v>
      </c>
      <c r="Q23" s="44">
        <f t="shared" si="7"/>
        <v>28.448920241955335</v>
      </c>
      <c r="R23" s="44">
        <f t="shared" si="7"/>
        <v>29.53487550912433</v>
      </c>
      <c r="S23" s="44">
        <f t="shared" si="7"/>
        <v>17.315719286429953</v>
      </c>
      <c r="T23" s="44">
        <f t="shared" si="7"/>
        <v>22.323491111647673</v>
      </c>
      <c r="U23" s="44">
        <f t="shared" si="7"/>
        <v>39.512091784011254</v>
      </c>
      <c r="V23" s="44">
        <f t="shared" si="7"/>
        <v>21.744069652040963</v>
      </c>
      <c r="W23" s="44">
        <f t="shared" si="7"/>
        <v>12.116598644494246</v>
      </c>
      <c r="X23" s="44">
        <f t="shared" si="7"/>
        <v>6.3234395509890007</v>
      </c>
      <c r="Y23" s="44" t="str">
        <f t="shared" si="7"/>
        <v/>
      </c>
      <c r="Z23" s="44" t="str">
        <f t="shared" si="7"/>
        <v/>
      </c>
      <c r="AA23" s="44" t="str">
        <f t="shared" si="7"/>
        <v/>
      </c>
      <c r="AB23" s="44" t="str">
        <f t="shared" si="7"/>
        <v/>
      </c>
      <c r="AC23" s="44" t="str">
        <f t="shared" si="7"/>
        <v/>
      </c>
      <c r="AD23" s="44" t="str">
        <f t="shared" si="7"/>
        <v/>
      </c>
      <c r="AE23" s="44" t="str">
        <f t="shared" si="7"/>
        <v/>
      </c>
      <c r="AF23" s="44" t="str">
        <f t="shared" si="7"/>
        <v/>
      </c>
      <c r="AG23" s="44" t="str">
        <f t="shared" si="7"/>
        <v/>
      </c>
      <c r="AH23" s="44" t="str">
        <f t="shared" si="7"/>
        <v/>
      </c>
      <c r="AI23" s="44" t="str">
        <f t="shared" si="7"/>
        <v/>
      </c>
      <c r="AJ23" s="44" t="str">
        <f t="shared" si="7"/>
        <v/>
      </c>
      <c r="AK23" s="44" t="str">
        <f t="shared" si="7"/>
        <v/>
      </c>
    </row>
    <row r="24" spans="1:37" ht="29" x14ac:dyDescent="0.35">
      <c r="A24" t="s">
        <v>495</v>
      </c>
      <c r="B24" t="s">
        <v>494</v>
      </c>
      <c r="C24" s="37" t="s">
        <v>493</v>
      </c>
      <c r="D24" s="37"/>
      <c r="E24" s="45" t="str">
        <f t="shared" ref="E24:AK24" si="8">IFERROR(IF(E10="","",IF(E10=0,"",E10/E4)),"")</f>
        <v/>
      </c>
      <c r="F24" s="45" t="str">
        <f t="shared" si="8"/>
        <v/>
      </c>
      <c r="G24" s="45" t="str">
        <f t="shared" si="8"/>
        <v/>
      </c>
      <c r="H24" s="45" t="str">
        <f t="shared" si="8"/>
        <v/>
      </c>
      <c r="I24" s="45">
        <f t="shared" si="8"/>
        <v>3.9705656614176519</v>
      </c>
      <c r="J24" s="45">
        <f t="shared" si="8"/>
        <v>4.9745396199888674</v>
      </c>
      <c r="K24" s="45">
        <f t="shared" si="8"/>
        <v>5.0263052140881053</v>
      </c>
      <c r="L24" s="45">
        <f t="shared" si="8"/>
        <v>5.0529399124063685</v>
      </c>
      <c r="M24" s="45">
        <f t="shared" si="8"/>
        <v>5.7397729908732416</v>
      </c>
      <c r="N24" s="45">
        <f t="shared" si="8"/>
        <v>6.3460892006746974</v>
      </c>
      <c r="O24" s="45">
        <f t="shared" si="8"/>
        <v>5.7041536976369676</v>
      </c>
      <c r="P24" s="45">
        <f t="shared" si="8"/>
        <v>5.7798341416459964</v>
      </c>
      <c r="Q24" s="45">
        <f t="shared" si="8"/>
        <v>5.912213191029779</v>
      </c>
      <c r="R24" s="45">
        <f t="shared" si="8"/>
        <v>5.5627647207020168</v>
      </c>
      <c r="S24" s="45">
        <f t="shared" si="8"/>
        <v>6.0273508137432188</v>
      </c>
      <c r="T24" s="45">
        <f t="shared" si="8"/>
        <v>5.3418057850537428</v>
      </c>
      <c r="U24" s="45">
        <f t="shared" si="8"/>
        <v>5.5923170200932102</v>
      </c>
      <c r="V24" s="45">
        <f t="shared" si="8"/>
        <v>16.21231543472776</v>
      </c>
      <c r="W24" s="45">
        <f t="shared" si="8"/>
        <v>6.8720553371045758</v>
      </c>
      <c r="X24" s="45">
        <f t="shared" si="8"/>
        <v>6.8471725442285853</v>
      </c>
      <c r="Y24" s="45" t="str">
        <f t="shared" si="8"/>
        <v/>
      </c>
      <c r="Z24" s="45" t="str">
        <f t="shared" si="8"/>
        <v/>
      </c>
      <c r="AA24" s="45" t="str">
        <f t="shared" si="8"/>
        <v/>
      </c>
      <c r="AB24" s="45" t="str">
        <f t="shared" si="8"/>
        <v/>
      </c>
      <c r="AC24" s="45" t="str">
        <f t="shared" si="8"/>
        <v/>
      </c>
      <c r="AD24" s="45" t="str">
        <f t="shared" si="8"/>
        <v/>
      </c>
      <c r="AE24" s="45" t="str">
        <f t="shared" si="8"/>
        <v/>
      </c>
      <c r="AF24" s="45" t="str">
        <f t="shared" si="8"/>
        <v/>
      </c>
      <c r="AG24" s="45" t="str">
        <f t="shared" si="8"/>
        <v/>
      </c>
      <c r="AH24" s="45" t="str">
        <f t="shared" si="8"/>
        <v/>
      </c>
      <c r="AI24" s="45" t="str">
        <f t="shared" si="8"/>
        <v/>
      </c>
      <c r="AJ24" s="45" t="str">
        <f t="shared" si="8"/>
        <v/>
      </c>
      <c r="AK24" s="45" t="str">
        <f t="shared" si="8"/>
        <v/>
      </c>
    </row>
    <row r="25" spans="1:37" x14ac:dyDescent="0.35">
      <c r="B25" t="s">
        <v>490</v>
      </c>
      <c r="C25" s="36" t="s">
        <v>512</v>
      </c>
      <c r="D25" s="36"/>
      <c r="E25" s="48" t="str">
        <f>IFERROR(IF(E14=0,"",IF(E14&lt;0,"",E14)),"")</f>
        <v/>
      </c>
      <c r="F25" s="48" t="str">
        <f t="shared" ref="F25:AK25" si="9">IFERROR(IF(F14=0,"",IF(F14&lt;0,"",F14)),"")</f>
        <v/>
      </c>
      <c r="G25" s="48" t="str">
        <f t="shared" si="9"/>
        <v/>
      </c>
      <c r="H25" s="48" t="str">
        <f t="shared" si="9"/>
        <v/>
      </c>
      <c r="I25" s="48" t="str">
        <f t="shared" si="9"/>
        <v/>
      </c>
      <c r="J25" s="48">
        <f t="shared" si="9"/>
        <v>2852502</v>
      </c>
      <c r="K25" s="48">
        <f t="shared" si="9"/>
        <v>2726796</v>
      </c>
      <c r="L25" s="48">
        <f t="shared" si="9"/>
        <v>2136945</v>
      </c>
      <c r="M25" s="48">
        <f t="shared" si="9"/>
        <v>3898864</v>
      </c>
      <c r="N25" s="48">
        <f t="shared" si="9"/>
        <v>1812740</v>
      </c>
      <c r="O25" s="48">
        <f t="shared" si="9"/>
        <v>1965767</v>
      </c>
      <c r="P25" s="48">
        <f t="shared" si="9"/>
        <v>15194762</v>
      </c>
      <c r="Q25" s="48">
        <f t="shared" si="9"/>
        <v>9654930</v>
      </c>
      <c r="R25" s="48">
        <f t="shared" si="9"/>
        <v>8984763</v>
      </c>
      <c r="S25" s="48"/>
      <c r="T25" s="48">
        <f t="shared" si="9"/>
        <v>1793564</v>
      </c>
      <c r="U25" s="48">
        <f t="shared" si="9"/>
        <v>8259526</v>
      </c>
      <c r="V25" s="48">
        <f t="shared" si="9"/>
        <v>2258162</v>
      </c>
      <c r="W25" s="48">
        <f t="shared" si="9"/>
        <v>10973202</v>
      </c>
      <c r="X25" s="48">
        <f t="shared" si="9"/>
        <v>6935897</v>
      </c>
      <c r="Y25" s="48" t="str">
        <f t="shared" si="9"/>
        <v/>
      </c>
      <c r="Z25" s="48" t="str">
        <f t="shared" si="9"/>
        <v/>
      </c>
      <c r="AA25" s="48" t="str">
        <f t="shared" si="9"/>
        <v/>
      </c>
      <c r="AB25" s="48" t="str">
        <f t="shared" si="9"/>
        <v/>
      </c>
      <c r="AC25" s="48" t="str">
        <f t="shared" si="9"/>
        <v/>
      </c>
      <c r="AD25" s="48" t="str">
        <f t="shared" si="9"/>
        <v/>
      </c>
      <c r="AE25" s="48" t="str">
        <f t="shared" si="9"/>
        <v/>
      </c>
      <c r="AF25" s="48" t="str">
        <f t="shared" si="9"/>
        <v/>
      </c>
      <c r="AG25" s="48"/>
      <c r="AH25" s="48"/>
      <c r="AI25" s="48"/>
      <c r="AJ25" s="48" t="str">
        <f t="shared" si="9"/>
        <v/>
      </c>
      <c r="AK25" s="48" t="str">
        <f t="shared" si="9"/>
        <v/>
      </c>
    </row>
    <row r="26" spans="1:37" ht="29" x14ac:dyDescent="0.35">
      <c r="A26" t="s">
        <v>491</v>
      </c>
      <c r="B26" t="s">
        <v>492</v>
      </c>
      <c r="C26" s="36" t="s">
        <v>546</v>
      </c>
      <c r="D26" s="36"/>
      <c r="E26" s="47" t="str">
        <f>IFERROR(IF(E25/E4=0, "",E25/E4),"")</f>
        <v/>
      </c>
      <c r="F26" s="47" t="str">
        <f t="shared" ref="F26:AK26" si="10">IFERROR(IF(F25/F4=0, "",F25/F4),"")</f>
        <v/>
      </c>
      <c r="G26" s="47" t="str">
        <f t="shared" si="10"/>
        <v/>
      </c>
      <c r="H26" s="47" t="str">
        <f t="shared" si="10"/>
        <v/>
      </c>
      <c r="I26" s="47" t="str">
        <f t="shared" si="10"/>
        <v/>
      </c>
      <c r="J26" s="47">
        <f t="shared" si="10"/>
        <v>7.4541501490828983</v>
      </c>
      <c r="K26" s="47">
        <f t="shared" si="10"/>
        <v>5.7673838188140341</v>
      </c>
      <c r="L26" s="47">
        <f t="shared" si="10"/>
        <v>3.6445243747697598</v>
      </c>
      <c r="M26" s="47">
        <f t="shared" si="10"/>
        <v>6.2373341225593322</v>
      </c>
      <c r="N26" s="47">
        <f t="shared" si="10"/>
        <v>2.7010829722432486</v>
      </c>
      <c r="O26" s="47">
        <f t="shared" si="10"/>
        <v>2.1712497321513382</v>
      </c>
      <c r="P26" s="47">
        <f t="shared" si="10"/>
        <v>14.063494502239829</v>
      </c>
      <c r="Q26" s="47">
        <f t="shared" si="10"/>
        <v>7.5946944519391195</v>
      </c>
      <c r="R26" s="47">
        <f t="shared" si="10"/>
        <v>5.4543850223553729</v>
      </c>
      <c r="S26" s="47" t="str">
        <f t="shared" si="10"/>
        <v/>
      </c>
      <c r="T26" s="47">
        <f t="shared" si="10"/>
        <v>0.70884040850831076</v>
      </c>
      <c r="U26" s="47">
        <f t="shared" si="10"/>
        <v>2.8062766352510997</v>
      </c>
      <c r="V26" s="47">
        <f t="shared" si="10"/>
        <v>1.8865148094990651</v>
      </c>
      <c r="W26" s="47">
        <f t="shared" si="10"/>
        <v>3.3203479144949748</v>
      </c>
      <c r="X26" s="47">
        <f t="shared" si="10"/>
        <v>1.7910926421307087</v>
      </c>
      <c r="Y26" s="47" t="str">
        <f t="shared" si="10"/>
        <v/>
      </c>
      <c r="Z26" s="47" t="str">
        <f t="shared" si="10"/>
        <v/>
      </c>
      <c r="AA26" s="47" t="str">
        <f t="shared" si="10"/>
        <v/>
      </c>
      <c r="AB26" s="47" t="str">
        <f t="shared" si="10"/>
        <v/>
      </c>
      <c r="AC26" s="47" t="str">
        <f t="shared" si="10"/>
        <v/>
      </c>
      <c r="AD26" s="47" t="str">
        <f t="shared" si="10"/>
        <v/>
      </c>
      <c r="AE26" s="47" t="str">
        <f t="shared" si="10"/>
        <v/>
      </c>
      <c r="AF26" s="47" t="str">
        <f t="shared" si="10"/>
        <v/>
      </c>
      <c r="AG26" s="47" t="str">
        <f t="shared" si="10"/>
        <v/>
      </c>
      <c r="AH26" s="47" t="str">
        <f t="shared" si="10"/>
        <v/>
      </c>
      <c r="AI26" s="47" t="str">
        <f t="shared" si="10"/>
        <v/>
      </c>
      <c r="AJ26" s="47" t="str">
        <f t="shared" si="10"/>
        <v/>
      </c>
      <c r="AK26" s="47" t="str">
        <f t="shared" si="10"/>
        <v/>
      </c>
    </row>
    <row r="27" spans="1:37" x14ac:dyDescent="0.35">
      <c r="C27" s="34"/>
      <c r="D27" s="34"/>
    </row>
    <row r="28" spans="1:37" ht="29" x14ac:dyDescent="0.35">
      <c r="B28" s="35" t="s">
        <v>489</v>
      </c>
      <c r="C28" s="34"/>
      <c r="D28" s="34"/>
    </row>
    <row r="29" spans="1:37" x14ac:dyDescent="0.35">
      <c r="B29" t="s">
        <v>488</v>
      </c>
      <c r="C29" s="34"/>
      <c r="D29" s="34"/>
    </row>
    <row r="30" spans="1:37" x14ac:dyDescent="0.35">
      <c r="C30" s="34"/>
      <c r="D30" s="34"/>
    </row>
    <row r="31" spans="1:37" x14ac:dyDescent="0.35">
      <c r="C31" s="34"/>
      <c r="D31" s="34"/>
    </row>
    <row r="32" spans="1:37" x14ac:dyDescent="0.35">
      <c r="C32" s="33"/>
      <c r="D32" s="33"/>
    </row>
    <row r="33" spans="3:4" x14ac:dyDescent="0.35">
      <c r="C33" s="33"/>
      <c r="D33" s="33"/>
    </row>
    <row r="34" spans="3:4" x14ac:dyDescent="0.35">
      <c r="C34" s="33"/>
      <c r="D34" s="33"/>
    </row>
    <row r="35" spans="3:4" x14ac:dyDescent="0.35">
      <c r="C35" s="33"/>
      <c r="D35" s="33"/>
    </row>
    <row r="36" spans="3:4" x14ac:dyDescent="0.35">
      <c r="C36" s="33"/>
      <c r="D36" s="33"/>
    </row>
    <row r="37" spans="3:4" x14ac:dyDescent="0.35">
      <c r="C37" s="33"/>
      <c r="D37" s="33"/>
    </row>
    <row r="38" spans="3:4" x14ac:dyDescent="0.35">
      <c r="C38" s="33"/>
      <c r="D38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5"/>
  <sheetViews>
    <sheetView workbookViewId="0">
      <selection sqref="A1:M1"/>
    </sheetView>
  </sheetViews>
  <sheetFormatPr defaultColWidth="8.90625" defaultRowHeight="14.5" x14ac:dyDescent="0.35"/>
  <cols>
    <col min="1" max="1" width="10.08984375" style="1" bestFit="1" customWidth="1"/>
    <col min="2" max="6" width="8.90625" style="1"/>
    <col min="7" max="7" width="6.6328125" style="1" bestFit="1" customWidth="1"/>
    <col min="8" max="8" width="12.36328125" style="1" customWidth="1"/>
    <col min="9" max="11" width="8.90625" style="1"/>
    <col min="12" max="12" width="8.90625" style="22"/>
    <col min="13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372</v>
      </c>
      <c r="E1" s="2" t="s">
        <v>373</v>
      </c>
      <c r="F1" s="2" t="s">
        <v>374</v>
      </c>
      <c r="G1" s="2" t="s">
        <v>375</v>
      </c>
      <c r="H1" s="5" t="s">
        <v>376</v>
      </c>
      <c r="I1" s="2" t="s">
        <v>377</v>
      </c>
      <c r="J1" s="2" t="s">
        <v>378</v>
      </c>
      <c r="K1" s="2" t="s">
        <v>379</v>
      </c>
      <c r="L1" s="2" t="s">
        <v>380</v>
      </c>
      <c r="M1" s="2" t="s">
        <v>381</v>
      </c>
    </row>
    <row r="2" spans="1:13" x14ac:dyDescent="0.35">
      <c r="A2" s="1" t="s">
        <v>125</v>
      </c>
      <c r="B2" s="1" t="s">
        <v>126</v>
      </c>
      <c r="C2" s="1">
        <v>1997</v>
      </c>
      <c r="D2" s="1" t="s">
        <v>86</v>
      </c>
      <c r="E2" s="1" t="s">
        <v>88</v>
      </c>
      <c r="F2" s="1">
        <v>1999</v>
      </c>
      <c r="G2" s="1" t="s">
        <v>129</v>
      </c>
      <c r="H2" s="1">
        <v>115000</v>
      </c>
      <c r="I2" s="1">
        <v>4</v>
      </c>
      <c r="J2" s="1">
        <f>3400000-H2</f>
        <v>3285000</v>
      </c>
      <c r="K2" s="22" t="s">
        <v>85</v>
      </c>
      <c r="L2" s="22">
        <v>4</v>
      </c>
      <c r="M2" s="1">
        <v>100</v>
      </c>
    </row>
    <row r="3" spans="1:13" x14ac:dyDescent="0.35">
      <c r="A3" s="1" t="s">
        <v>125</v>
      </c>
      <c r="B3" s="1" t="s">
        <v>126</v>
      </c>
      <c r="C3" s="1">
        <v>1997</v>
      </c>
      <c r="D3" s="1" t="s">
        <v>86</v>
      </c>
      <c r="E3" s="1" t="s">
        <v>88</v>
      </c>
      <c r="F3" s="1">
        <v>2000</v>
      </c>
      <c r="G3" s="1" t="s">
        <v>129</v>
      </c>
      <c r="H3" s="1">
        <v>120000</v>
      </c>
      <c r="I3" s="1">
        <v>4.0999999999999996</v>
      </c>
      <c r="J3" s="1">
        <f>J2-H3</f>
        <v>3165000</v>
      </c>
      <c r="K3" s="22" t="s">
        <v>85</v>
      </c>
      <c r="L3" s="22">
        <v>4.0999999999999996</v>
      </c>
      <c r="M3" s="1">
        <v>100</v>
      </c>
    </row>
    <row r="4" spans="1:13" x14ac:dyDescent="0.35">
      <c r="A4" s="1" t="s">
        <v>125</v>
      </c>
      <c r="B4" s="1" t="s">
        <v>126</v>
      </c>
      <c r="C4" s="1">
        <v>1997</v>
      </c>
      <c r="D4" s="1" t="s">
        <v>86</v>
      </c>
      <c r="E4" s="1" t="s">
        <v>88</v>
      </c>
      <c r="F4" s="1">
        <v>2001</v>
      </c>
      <c r="G4" s="1" t="s">
        <v>129</v>
      </c>
      <c r="H4" s="1">
        <v>125000</v>
      </c>
      <c r="I4" s="1">
        <v>4.2</v>
      </c>
      <c r="J4" s="1">
        <f t="shared" ref="J4:J17" si="0">J3-H4</f>
        <v>3040000</v>
      </c>
      <c r="K4" s="22" t="s">
        <v>85</v>
      </c>
      <c r="L4" s="22">
        <v>4.2</v>
      </c>
      <c r="M4" s="1">
        <v>100</v>
      </c>
    </row>
    <row r="5" spans="1:13" x14ac:dyDescent="0.35">
      <c r="A5" s="1" t="s">
        <v>125</v>
      </c>
      <c r="B5" s="1" t="s">
        <v>126</v>
      </c>
      <c r="C5" s="1">
        <v>1997</v>
      </c>
      <c r="D5" s="1" t="s">
        <v>86</v>
      </c>
      <c r="E5" s="1" t="s">
        <v>88</v>
      </c>
      <c r="F5" s="1">
        <v>2002</v>
      </c>
      <c r="G5" s="1" t="s">
        <v>129</v>
      </c>
      <c r="H5" s="1">
        <v>130000</v>
      </c>
      <c r="I5" s="1">
        <v>4.3</v>
      </c>
      <c r="J5" s="1">
        <f t="shared" si="0"/>
        <v>2910000</v>
      </c>
      <c r="K5" s="22" t="s">
        <v>85</v>
      </c>
      <c r="L5" s="22">
        <v>4.3</v>
      </c>
      <c r="M5" s="1">
        <v>100</v>
      </c>
    </row>
    <row r="6" spans="1:13" x14ac:dyDescent="0.35">
      <c r="A6" s="1" t="s">
        <v>125</v>
      </c>
      <c r="B6" s="1" t="s">
        <v>126</v>
      </c>
      <c r="C6" s="1">
        <v>1997</v>
      </c>
      <c r="D6" s="1" t="s">
        <v>86</v>
      </c>
      <c r="E6" s="1" t="s">
        <v>88</v>
      </c>
      <c r="F6" s="1">
        <v>2003</v>
      </c>
      <c r="G6" s="1" t="s">
        <v>129</v>
      </c>
      <c r="H6" s="1">
        <v>140000</v>
      </c>
      <c r="I6" s="1">
        <v>4.4000000000000004</v>
      </c>
      <c r="J6" s="1">
        <f t="shared" si="0"/>
        <v>2770000</v>
      </c>
      <c r="K6" s="22" t="s">
        <v>85</v>
      </c>
      <c r="L6" s="22">
        <v>4.4000000000000004</v>
      </c>
      <c r="M6" s="1">
        <v>100</v>
      </c>
    </row>
    <row r="7" spans="1:13" x14ac:dyDescent="0.35">
      <c r="A7" s="1" t="s">
        <v>125</v>
      </c>
      <c r="B7" s="1" t="s">
        <v>126</v>
      </c>
      <c r="C7" s="1">
        <v>1997</v>
      </c>
      <c r="D7" s="1" t="s">
        <v>86</v>
      </c>
      <c r="E7" s="1" t="s">
        <v>88</v>
      </c>
      <c r="F7" s="1">
        <v>2004</v>
      </c>
      <c r="G7" s="1" t="s">
        <v>129</v>
      </c>
      <c r="H7" s="1">
        <v>145000</v>
      </c>
      <c r="I7" s="1">
        <v>4.5</v>
      </c>
      <c r="J7" s="1">
        <f t="shared" si="0"/>
        <v>2625000</v>
      </c>
      <c r="K7" s="22" t="s">
        <v>85</v>
      </c>
      <c r="L7" s="22">
        <v>4.5</v>
      </c>
      <c r="M7" s="1">
        <v>100</v>
      </c>
    </row>
    <row r="8" spans="1:13" x14ac:dyDescent="0.35">
      <c r="A8" s="1" t="s">
        <v>125</v>
      </c>
      <c r="B8" s="1" t="s">
        <v>126</v>
      </c>
      <c r="C8" s="1">
        <v>1997</v>
      </c>
      <c r="D8" s="1" t="s">
        <v>86</v>
      </c>
      <c r="E8" s="1" t="s">
        <v>121</v>
      </c>
      <c r="F8" s="1">
        <v>2005</v>
      </c>
      <c r="G8" s="1" t="s">
        <v>129</v>
      </c>
      <c r="H8" s="1">
        <v>150000</v>
      </c>
      <c r="I8" s="1">
        <v>4.5</v>
      </c>
      <c r="J8" s="1">
        <f t="shared" si="0"/>
        <v>2475000</v>
      </c>
      <c r="K8" s="22" t="s">
        <v>85</v>
      </c>
      <c r="L8" s="22">
        <v>4.55</v>
      </c>
      <c r="M8" s="1" t="s">
        <v>85</v>
      </c>
    </row>
    <row r="9" spans="1:13" x14ac:dyDescent="0.35">
      <c r="A9" s="1" t="s">
        <v>125</v>
      </c>
      <c r="B9" s="1" t="s">
        <v>126</v>
      </c>
      <c r="C9" s="1">
        <v>1997</v>
      </c>
      <c r="D9" s="1" t="s">
        <v>86</v>
      </c>
      <c r="E9" s="1" t="s">
        <v>121</v>
      </c>
      <c r="F9" s="1">
        <v>2006</v>
      </c>
      <c r="G9" s="1" t="s">
        <v>129</v>
      </c>
      <c r="H9" s="1">
        <v>155000</v>
      </c>
      <c r="I9" s="1">
        <v>4.5999999999999996</v>
      </c>
      <c r="J9" s="1">
        <f t="shared" si="0"/>
        <v>2320000</v>
      </c>
      <c r="K9" s="22" t="s">
        <v>85</v>
      </c>
      <c r="L9" s="22">
        <v>4.6500000000000004</v>
      </c>
      <c r="M9" s="1" t="s">
        <v>85</v>
      </c>
    </row>
    <row r="10" spans="1:13" x14ac:dyDescent="0.35">
      <c r="A10" s="1" t="s">
        <v>125</v>
      </c>
      <c r="B10" s="1" t="s">
        <v>126</v>
      </c>
      <c r="C10" s="1">
        <v>1997</v>
      </c>
      <c r="D10" s="1" t="s">
        <v>86</v>
      </c>
      <c r="E10" s="1" t="s">
        <v>121</v>
      </c>
      <c r="F10" s="1">
        <v>2007</v>
      </c>
      <c r="G10" s="1" t="s">
        <v>129</v>
      </c>
      <c r="H10" s="1">
        <v>165000</v>
      </c>
      <c r="I10" s="1">
        <v>4.5999999999999996</v>
      </c>
      <c r="J10" s="1">
        <f t="shared" si="0"/>
        <v>2155000</v>
      </c>
      <c r="K10" s="22" t="s">
        <v>85</v>
      </c>
      <c r="L10" s="22">
        <v>4.7</v>
      </c>
      <c r="M10" s="1" t="s">
        <v>85</v>
      </c>
    </row>
    <row r="11" spans="1:13" x14ac:dyDescent="0.35">
      <c r="A11" s="1" t="s">
        <v>125</v>
      </c>
      <c r="B11" s="1" t="s">
        <v>126</v>
      </c>
      <c r="C11" s="1">
        <v>1997</v>
      </c>
      <c r="D11" s="1" t="s">
        <v>86</v>
      </c>
      <c r="E11" s="1" t="s">
        <v>121</v>
      </c>
      <c r="F11" s="1">
        <v>2008</v>
      </c>
      <c r="G11" s="1" t="s">
        <v>129</v>
      </c>
      <c r="H11" s="1">
        <v>170000</v>
      </c>
      <c r="I11" s="1">
        <v>4.7</v>
      </c>
      <c r="J11" s="1">
        <f t="shared" si="0"/>
        <v>1985000</v>
      </c>
      <c r="K11" s="22" t="s">
        <v>85</v>
      </c>
      <c r="L11" s="22">
        <v>4.75</v>
      </c>
      <c r="M11" s="1" t="s">
        <v>85</v>
      </c>
    </row>
    <row r="12" spans="1:13" x14ac:dyDescent="0.35">
      <c r="A12" s="1" t="s">
        <v>125</v>
      </c>
      <c r="B12" s="1" t="s">
        <v>126</v>
      </c>
      <c r="C12" s="1">
        <v>1997</v>
      </c>
      <c r="D12" s="1" t="s">
        <v>86</v>
      </c>
      <c r="E12" s="1" t="s">
        <v>121</v>
      </c>
      <c r="F12" s="1">
        <v>2009</v>
      </c>
      <c r="G12" s="1" t="s">
        <v>129</v>
      </c>
      <c r="H12" s="1">
        <v>180000</v>
      </c>
      <c r="I12" s="1">
        <v>4.8</v>
      </c>
      <c r="J12" s="1">
        <f t="shared" si="0"/>
        <v>1805000</v>
      </c>
      <c r="K12" s="22" t="s">
        <v>85</v>
      </c>
      <c r="L12" s="22">
        <v>4.8499999999999996</v>
      </c>
      <c r="M12" s="1" t="s">
        <v>85</v>
      </c>
    </row>
    <row r="13" spans="1:13" x14ac:dyDescent="0.35">
      <c r="A13" s="1" t="s">
        <v>125</v>
      </c>
      <c r="B13" s="1" t="s">
        <v>126</v>
      </c>
      <c r="C13" s="1">
        <v>1997</v>
      </c>
      <c r="D13" s="1" t="s">
        <v>86</v>
      </c>
      <c r="E13" s="1" t="s">
        <v>121</v>
      </c>
      <c r="F13" s="1">
        <v>2010</v>
      </c>
      <c r="G13" s="1" t="s">
        <v>129</v>
      </c>
      <c r="H13" s="1">
        <v>190000</v>
      </c>
      <c r="I13" s="1">
        <v>4.8499999999999996</v>
      </c>
      <c r="J13" s="1">
        <f t="shared" si="0"/>
        <v>1615000</v>
      </c>
      <c r="K13" s="22" t="s">
        <v>85</v>
      </c>
      <c r="L13" s="22">
        <v>4.95</v>
      </c>
      <c r="M13" s="1" t="s">
        <v>85</v>
      </c>
    </row>
    <row r="14" spans="1:13" x14ac:dyDescent="0.35">
      <c r="A14" s="1" t="s">
        <v>125</v>
      </c>
      <c r="B14" s="1" t="s">
        <v>126</v>
      </c>
      <c r="C14" s="1">
        <v>1997</v>
      </c>
      <c r="D14" s="1" t="s">
        <v>86</v>
      </c>
      <c r="E14" s="1" t="s">
        <v>121</v>
      </c>
      <c r="F14" s="1">
        <v>2011</v>
      </c>
      <c r="G14" s="1" t="s">
        <v>129</v>
      </c>
      <c r="H14" s="1">
        <v>200000</v>
      </c>
      <c r="I14" s="1">
        <v>5</v>
      </c>
      <c r="J14" s="1">
        <f t="shared" si="0"/>
        <v>1415000</v>
      </c>
      <c r="K14" s="22" t="s">
        <v>85</v>
      </c>
      <c r="L14" s="22">
        <v>5.05</v>
      </c>
      <c r="M14" s="1">
        <v>99.454999999999998</v>
      </c>
    </row>
    <row r="15" spans="1:13" x14ac:dyDescent="0.35">
      <c r="A15" s="1" t="s">
        <v>125</v>
      </c>
      <c r="B15" s="1" t="s">
        <v>126</v>
      </c>
      <c r="C15" s="1">
        <v>1997</v>
      </c>
      <c r="D15" s="1" t="s">
        <v>86</v>
      </c>
      <c r="E15" s="1" t="s">
        <v>121</v>
      </c>
      <c r="F15" s="1">
        <v>2012</v>
      </c>
      <c r="G15" s="1" t="s">
        <v>129</v>
      </c>
      <c r="H15" s="1">
        <v>205000</v>
      </c>
      <c r="I15" s="1">
        <v>5</v>
      </c>
      <c r="J15" s="1">
        <f t="shared" ref="J15:J16" si="1">J14-H15</f>
        <v>1210000</v>
      </c>
      <c r="K15" s="22" t="s">
        <v>85</v>
      </c>
      <c r="L15" s="22">
        <v>5.05</v>
      </c>
      <c r="M15" s="1">
        <v>99.454999999999998</v>
      </c>
    </row>
    <row r="16" spans="1:13" x14ac:dyDescent="0.35">
      <c r="A16" s="1" t="s">
        <v>125</v>
      </c>
      <c r="B16" s="1" t="s">
        <v>126</v>
      </c>
      <c r="C16" s="1">
        <v>1997</v>
      </c>
      <c r="D16" s="1" t="s">
        <v>86</v>
      </c>
      <c r="E16" s="1" t="s">
        <v>121</v>
      </c>
      <c r="F16" s="1">
        <v>2013</v>
      </c>
      <c r="G16" s="1" t="s">
        <v>129</v>
      </c>
      <c r="H16" s="1">
        <v>220000</v>
      </c>
      <c r="I16" s="1">
        <v>5</v>
      </c>
      <c r="J16" s="1">
        <f t="shared" si="1"/>
        <v>990000</v>
      </c>
      <c r="K16" s="22" t="s">
        <v>85</v>
      </c>
      <c r="L16" s="22">
        <v>5.05</v>
      </c>
      <c r="M16" s="1">
        <v>99.454999999999998</v>
      </c>
    </row>
    <row r="17" spans="1:13" x14ac:dyDescent="0.35">
      <c r="A17" s="1" t="s">
        <v>125</v>
      </c>
      <c r="B17" s="1" t="s">
        <v>126</v>
      </c>
      <c r="C17" s="1">
        <v>1997</v>
      </c>
      <c r="D17" s="1" t="s">
        <v>86</v>
      </c>
      <c r="E17" s="1" t="s">
        <v>121</v>
      </c>
      <c r="F17" s="1">
        <v>2014</v>
      </c>
      <c r="G17" s="1" t="s">
        <v>129</v>
      </c>
      <c r="H17" s="1">
        <v>230000</v>
      </c>
      <c r="I17" s="1">
        <v>5.0999999999999996</v>
      </c>
      <c r="J17" s="1">
        <f t="shared" si="0"/>
        <v>760000</v>
      </c>
      <c r="K17" s="22" t="s">
        <v>85</v>
      </c>
      <c r="L17" s="22">
        <v>5.2</v>
      </c>
      <c r="M17" s="1">
        <v>98.765000000000001</v>
      </c>
    </row>
    <row r="18" spans="1:13" x14ac:dyDescent="0.35">
      <c r="A18" s="1" t="s">
        <v>125</v>
      </c>
      <c r="B18" s="1" t="s">
        <v>126</v>
      </c>
      <c r="C18" s="1">
        <v>1997</v>
      </c>
      <c r="D18" s="1" t="s">
        <v>86</v>
      </c>
      <c r="E18" s="1" t="s">
        <v>121</v>
      </c>
      <c r="F18" s="1">
        <v>2015</v>
      </c>
      <c r="G18" s="1" t="s">
        <v>129</v>
      </c>
      <c r="H18" s="1">
        <v>240000</v>
      </c>
      <c r="I18" s="1">
        <v>5.0999999999999996</v>
      </c>
      <c r="J18" s="1">
        <f t="shared" ref="J18:J84" si="2">J17-H18</f>
        <v>520000</v>
      </c>
      <c r="K18" s="22" t="s">
        <v>85</v>
      </c>
      <c r="L18" s="22">
        <v>5.2</v>
      </c>
      <c r="M18" s="1">
        <v>98.765000000000001</v>
      </c>
    </row>
    <row r="19" spans="1:13" x14ac:dyDescent="0.35">
      <c r="A19" s="1" t="s">
        <v>125</v>
      </c>
      <c r="B19" s="1" t="s">
        <v>126</v>
      </c>
      <c r="C19" s="1">
        <v>1997</v>
      </c>
      <c r="D19" s="1" t="s">
        <v>86</v>
      </c>
      <c r="E19" s="1" t="s">
        <v>121</v>
      </c>
      <c r="F19" s="1">
        <v>2016</v>
      </c>
      <c r="G19" s="1" t="s">
        <v>129</v>
      </c>
      <c r="H19" s="1">
        <v>255000</v>
      </c>
      <c r="I19" s="1">
        <v>5.0999999999999996</v>
      </c>
      <c r="J19" s="1">
        <f t="shared" si="2"/>
        <v>265000</v>
      </c>
      <c r="K19" s="22" t="s">
        <v>85</v>
      </c>
      <c r="L19" s="22">
        <v>5.2</v>
      </c>
      <c r="M19" s="1">
        <v>98.765000000000001</v>
      </c>
    </row>
    <row r="20" spans="1:13" x14ac:dyDescent="0.35">
      <c r="A20" s="1" t="s">
        <v>125</v>
      </c>
      <c r="B20" s="1" t="s">
        <v>126</v>
      </c>
      <c r="C20" s="1">
        <v>1997</v>
      </c>
      <c r="D20" s="1" t="s">
        <v>86</v>
      </c>
      <c r="E20" s="1" t="s">
        <v>121</v>
      </c>
      <c r="F20" s="1">
        <v>2017</v>
      </c>
      <c r="G20" s="1" t="s">
        <v>129</v>
      </c>
      <c r="H20" s="1">
        <v>265000</v>
      </c>
      <c r="I20" s="1">
        <v>5.0999999999999996</v>
      </c>
      <c r="J20" s="1">
        <f t="shared" si="2"/>
        <v>0</v>
      </c>
      <c r="K20" s="22" t="s">
        <v>85</v>
      </c>
      <c r="L20" s="22">
        <v>5.2</v>
      </c>
      <c r="M20" s="1">
        <v>98.765000000000001</v>
      </c>
    </row>
    <row r="21" spans="1:13" x14ac:dyDescent="0.35">
      <c r="A21" s="1" t="s">
        <v>125</v>
      </c>
      <c r="B21" s="1" t="s">
        <v>126</v>
      </c>
      <c r="C21" s="1">
        <v>2002</v>
      </c>
      <c r="D21" s="1" t="s">
        <v>86</v>
      </c>
      <c r="E21" s="1" t="s">
        <v>88</v>
      </c>
      <c r="F21" s="1">
        <v>2002</v>
      </c>
      <c r="G21" s="1" t="s">
        <v>129</v>
      </c>
      <c r="H21" s="1">
        <v>100000</v>
      </c>
      <c r="I21" s="1">
        <v>1.3</v>
      </c>
      <c r="J21" s="1">
        <f>3250000-H21</f>
        <v>3150000</v>
      </c>
      <c r="K21" s="22" t="s">
        <v>85</v>
      </c>
      <c r="L21" s="22" t="s">
        <v>85</v>
      </c>
      <c r="M21" s="1">
        <v>99.988</v>
      </c>
    </row>
    <row r="22" spans="1:13" x14ac:dyDescent="0.35">
      <c r="A22" s="1" t="s">
        <v>125</v>
      </c>
      <c r="B22" s="1" t="s">
        <v>126</v>
      </c>
      <c r="C22" s="1">
        <v>2002</v>
      </c>
      <c r="D22" s="1" t="s">
        <v>86</v>
      </c>
      <c r="E22" s="1" t="s">
        <v>88</v>
      </c>
      <c r="F22" s="1">
        <v>2003</v>
      </c>
      <c r="G22" s="1" t="s">
        <v>129</v>
      </c>
      <c r="H22" s="1">
        <v>175000</v>
      </c>
      <c r="I22" s="1">
        <v>1.4</v>
      </c>
      <c r="J22" s="1">
        <f t="shared" si="2"/>
        <v>2975000</v>
      </c>
      <c r="K22" s="22" t="s">
        <v>85</v>
      </c>
      <c r="L22" s="22" t="s">
        <v>85</v>
      </c>
      <c r="M22" s="1">
        <v>99.88</v>
      </c>
    </row>
    <row r="23" spans="1:13" x14ac:dyDescent="0.35">
      <c r="A23" s="1" t="s">
        <v>125</v>
      </c>
      <c r="B23" s="1" t="s">
        <v>126</v>
      </c>
      <c r="C23" s="1">
        <v>2002</v>
      </c>
      <c r="D23" s="1" t="s">
        <v>86</v>
      </c>
      <c r="E23" s="1" t="s">
        <v>88</v>
      </c>
      <c r="F23" s="1">
        <v>2004</v>
      </c>
      <c r="G23" s="1" t="s">
        <v>129</v>
      </c>
      <c r="H23" s="1">
        <v>175000</v>
      </c>
      <c r="I23" s="1">
        <v>1.6</v>
      </c>
      <c r="J23" s="1">
        <f t="shared" si="2"/>
        <v>2800000</v>
      </c>
      <c r="K23" s="22" t="s">
        <v>85</v>
      </c>
      <c r="L23" s="22" t="s">
        <v>85</v>
      </c>
      <c r="M23" s="1">
        <v>99.783000000000001</v>
      </c>
    </row>
    <row r="24" spans="1:13" x14ac:dyDescent="0.35">
      <c r="A24" s="1" t="s">
        <v>125</v>
      </c>
      <c r="B24" s="1" t="s">
        <v>126</v>
      </c>
      <c r="C24" s="1">
        <v>2002</v>
      </c>
      <c r="D24" s="1" t="s">
        <v>86</v>
      </c>
      <c r="E24" s="1" t="s">
        <v>88</v>
      </c>
      <c r="F24" s="1">
        <v>2005</v>
      </c>
      <c r="G24" s="1" t="s">
        <v>129</v>
      </c>
      <c r="H24" s="1">
        <v>180000</v>
      </c>
      <c r="I24" s="1">
        <v>2</v>
      </c>
      <c r="J24" s="1">
        <f t="shared" si="2"/>
        <v>2620000</v>
      </c>
      <c r="K24" s="22" t="s">
        <v>85</v>
      </c>
      <c r="L24" s="22" t="s">
        <v>85</v>
      </c>
      <c r="M24" s="1">
        <v>99.69</v>
      </c>
    </row>
    <row r="25" spans="1:13" x14ac:dyDescent="0.35">
      <c r="A25" s="1" t="s">
        <v>125</v>
      </c>
      <c r="B25" s="1" t="s">
        <v>126</v>
      </c>
      <c r="C25" s="1">
        <v>2002</v>
      </c>
      <c r="D25" s="1" t="s">
        <v>86</v>
      </c>
      <c r="E25" s="1" t="s">
        <v>88</v>
      </c>
      <c r="F25" s="1">
        <v>2006</v>
      </c>
      <c r="G25" s="1" t="s">
        <v>129</v>
      </c>
      <c r="H25" s="1">
        <v>180000</v>
      </c>
      <c r="I25" s="1">
        <v>2.4</v>
      </c>
      <c r="J25" s="1">
        <f t="shared" si="2"/>
        <v>2440000</v>
      </c>
      <c r="K25" s="22" t="s">
        <v>85</v>
      </c>
      <c r="L25" s="22" t="s">
        <v>85</v>
      </c>
      <c r="M25" s="1">
        <v>99.72</v>
      </c>
    </row>
    <row r="26" spans="1:13" x14ac:dyDescent="0.35">
      <c r="A26" s="1" t="s">
        <v>125</v>
      </c>
      <c r="B26" s="1" t="s">
        <v>126</v>
      </c>
      <c r="C26" s="1">
        <v>2002</v>
      </c>
      <c r="D26" s="1" t="s">
        <v>86</v>
      </c>
      <c r="E26" s="1" t="s">
        <v>88</v>
      </c>
      <c r="F26" s="1">
        <v>2007</v>
      </c>
      <c r="G26" s="1" t="s">
        <v>129</v>
      </c>
      <c r="H26" s="1">
        <v>185000</v>
      </c>
      <c r="I26" s="1">
        <v>3</v>
      </c>
      <c r="J26" s="1">
        <f t="shared" si="2"/>
        <v>2255000</v>
      </c>
      <c r="K26" s="22" t="s">
        <v>85</v>
      </c>
      <c r="L26" s="22" t="s">
        <v>85</v>
      </c>
      <c r="M26" s="1">
        <v>101.056</v>
      </c>
    </row>
    <row r="27" spans="1:13" x14ac:dyDescent="0.35">
      <c r="A27" s="1" t="s">
        <v>125</v>
      </c>
      <c r="B27" s="1" t="s">
        <v>126</v>
      </c>
      <c r="C27" s="1">
        <v>2002</v>
      </c>
      <c r="D27" s="1" t="s">
        <v>86</v>
      </c>
      <c r="E27" s="1" t="s">
        <v>88</v>
      </c>
      <c r="F27" s="1">
        <v>2008</v>
      </c>
      <c r="G27" s="1" t="s">
        <v>129</v>
      </c>
      <c r="H27" s="1">
        <v>190000</v>
      </c>
      <c r="I27" s="1">
        <v>3.1</v>
      </c>
      <c r="J27" s="1">
        <f t="shared" si="2"/>
        <v>2065000</v>
      </c>
      <c r="K27" s="22" t="s">
        <v>85</v>
      </c>
      <c r="L27" s="22" t="s">
        <v>85</v>
      </c>
      <c r="M27" s="1">
        <v>99.716999999999999</v>
      </c>
    </row>
    <row r="28" spans="1:13" x14ac:dyDescent="0.35">
      <c r="A28" s="1" t="s">
        <v>125</v>
      </c>
      <c r="B28" s="1" t="s">
        <v>126</v>
      </c>
      <c r="C28" s="1">
        <v>2002</v>
      </c>
      <c r="D28" s="1" t="s">
        <v>86</v>
      </c>
      <c r="E28" s="1" t="s">
        <v>88</v>
      </c>
      <c r="F28" s="1">
        <v>2009</v>
      </c>
      <c r="G28" s="1" t="s">
        <v>129</v>
      </c>
      <c r="H28" s="1">
        <v>195000</v>
      </c>
      <c r="I28" s="1">
        <v>3.3</v>
      </c>
      <c r="J28" s="1">
        <f t="shared" si="2"/>
        <v>1870000</v>
      </c>
      <c r="K28" s="22" t="s">
        <v>85</v>
      </c>
      <c r="L28" s="22" t="s">
        <v>85</v>
      </c>
      <c r="M28" s="1">
        <v>99.488</v>
      </c>
    </row>
    <row r="29" spans="1:13" x14ac:dyDescent="0.35">
      <c r="A29" s="1" t="s">
        <v>125</v>
      </c>
      <c r="B29" s="1" t="s">
        <v>126</v>
      </c>
      <c r="C29" s="1">
        <v>2002</v>
      </c>
      <c r="D29" s="1" t="s">
        <v>86</v>
      </c>
      <c r="E29" s="1" t="s">
        <v>88</v>
      </c>
      <c r="F29" s="1">
        <v>2010</v>
      </c>
      <c r="G29" s="1" t="s">
        <v>129</v>
      </c>
      <c r="H29" s="1">
        <v>205000</v>
      </c>
      <c r="I29" s="1">
        <v>3.5</v>
      </c>
      <c r="J29" s="1">
        <f t="shared" si="2"/>
        <v>1665000</v>
      </c>
      <c r="K29" s="22" t="s">
        <v>85</v>
      </c>
      <c r="L29" s="22" t="s">
        <v>85</v>
      </c>
      <c r="M29" s="1">
        <v>99.290999999999997</v>
      </c>
    </row>
    <row r="30" spans="1:13" x14ac:dyDescent="0.35">
      <c r="A30" s="1" t="s">
        <v>125</v>
      </c>
      <c r="B30" s="1" t="s">
        <v>126</v>
      </c>
      <c r="C30" s="1">
        <v>2002</v>
      </c>
      <c r="D30" s="1" t="s">
        <v>86</v>
      </c>
      <c r="E30" s="1" t="s">
        <v>88</v>
      </c>
      <c r="F30" s="1">
        <v>2011</v>
      </c>
      <c r="G30" s="1" t="s">
        <v>129</v>
      </c>
      <c r="H30" s="1">
        <v>215000</v>
      </c>
      <c r="I30" s="1">
        <v>3.625</v>
      </c>
      <c r="J30" s="1">
        <f t="shared" si="2"/>
        <v>1450000</v>
      </c>
      <c r="K30" s="22" t="s">
        <v>85</v>
      </c>
      <c r="L30" s="22" t="s">
        <v>85</v>
      </c>
      <c r="M30" s="1">
        <v>99.260999999999996</v>
      </c>
    </row>
    <row r="31" spans="1:13" x14ac:dyDescent="0.35">
      <c r="A31" s="1" t="s">
        <v>125</v>
      </c>
      <c r="B31" s="1" t="s">
        <v>126</v>
      </c>
      <c r="C31" s="1">
        <v>2002</v>
      </c>
      <c r="D31" s="1" t="s">
        <v>86</v>
      </c>
      <c r="E31" s="1" t="s">
        <v>88</v>
      </c>
      <c r="F31" s="1">
        <v>2012</v>
      </c>
      <c r="G31" s="1" t="s">
        <v>129</v>
      </c>
      <c r="H31" s="1">
        <v>215000</v>
      </c>
      <c r="I31" s="1">
        <v>3.85</v>
      </c>
      <c r="J31" s="1">
        <f t="shared" si="2"/>
        <v>1235000</v>
      </c>
      <c r="K31" s="22" t="s">
        <v>85</v>
      </c>
      <c r="L31" s="22">
        <v>3.95</v>
      </c>
      <c r="M31" s="1">
        <v>99.096999999999994</v>
      </c>
    </row>
    <row r="32" spans="1:13" x14ac:dyDescent="0.35">
      <c r="A32" s="1" t="s">
        <v>125</v>
      </c>
      <c r="B32" s="1" t="s">
        <v>126</v>
      </c>
      <c r="C32" s="1">
        <v>2002</v>
      </c>
      <c r="D32" s="1" t="s">
        <v>86</v>
      </c>
      <c r="E32" s="1" t="s">
        <v>88</v>
      </c>
      <c r="F32" s="1">
        <v>2013</v>
      </c>
      <c r="G32" s="1" t="s">
        <v>129</v>
      </c>
      <c r="H32" s="1">
        <v>230000</v>
      </c>
      <c r="I32" s="1">
        <v>3.85</v>
      </c>
      <c r="J32" s="1">
        <f t="shared" si="2"/>
        <v>1005000</v>
      </c>
      <c r="K32" s="22" t="s">
        <v>85</v>
      </c>
      <c r="L32" s="22">
        <v>3.95</v>
      </c>
      <c r="M32" s="1">
        <v>99.096999999999994</v>
      </c>
    </row>
    <row r="33" spans="1:14" x14ac:dyDescent="0.35">
      <c r="A33" s="1" t="s">
        <v>125</v>
      </c>
      <c r="B33" s="1" t="s">
        <v>126</v>
      </c>
      <c r="C33" s="1">
        <v>2002</v>
      </c>
      <c r="D33" s="1" t="s">
        <v>86</v>
      </c>
      <c r="E33" s="1" t="s">
        <v>88</v>
      </c>
      <c r="F33" s="1">
        <v>2014</v>
      </c>
      <c r="G33" s="1" t="s">
        <v>129</v>
      </c>
      <c r="H33" s="1">
        <v>235000</v>
      </c>
      <c r="I33" s="1">
        <v>4.1500000000000004</v>
      </c>
      <c r="J33" s="1">
        <f t="shared" si="2"/>
        <v>770000</v>
      </c>
      <c r="K33" s="22" t="s">
        <v>85</v>
      </c>
      <c r="L33" s="22">
        <v>4.25</v>
      </c>
      <c r="M33" s="1">
        <v>98.992000000000004</v>
      </c>
    </row>
    <row r="34" spans="1:14" x14ac:dyDescent="0.35">
      <c r="A34" s="1" t="s">
        <v>125</v>
      </c>
      <c r="B34" s="1" t="s">
        <v>126</v>
      </c>
      <c r="C34" s="1">
        <v>2002</v>
      </c>
      <c r="D34" s="1" t="s">
        <v>86</v>
      </c>
      <c r="E34" s="1" t="s">
        <v>88</v>
      </c>
      <c r="F34" s="1">
        <v>2015</v>
      </c>
      <c r="G34" s="1" t="s">
        <v>129</v>
      </c>
      <c r="H34" s="1">
        <v>245000</v>
      </c>
      <c r="I34" s="1">
        <v>4.1500000000000004</v>
      </c>
      <c r="J34" s="1">
        <f t="shared" si="2"/>
        <v>525000</v>
      </c>
      <c r="K34" s="22" t="s">
        <v>85</v>
      </c>
      <c r="L34" s="22">
        <v>4.25</v>
      </c>
      <c r="M34" s="1">
        <v>98.992000000000004</v>
      </c>
    </row>
    <row r="35" spans="1:14" x14ac:dyDescent="0.35">
      <c r="A35" s="1" t="s">
        <v>125</v>
      </c>
      <c r="B35" s="1" t="s">
        <v>126</v>
      </c>
      <c r="C35" s="1">
        <v>2002</v>
      </c>
      <c r="D35" s="1" t="s">
        <v>86</v>
      </c>
      <c r="E35" s="1" t="s">
        <v>88</v>
      </c>
      <c r="F35" s="1">
        <v>2016</v>
      </c>
      <c r="G35" s="1" t="s">
        <v>129</v>
      </c>
      <c r="H35" s="1">
        <v>260000</v>
      </c>
      <c r="I35" s="1">
        <v>4.4000000000000004</v>
      </c>
      <c r="J35" s="1">
        <f t="shared" si="2"/>
        <v>265000</v>
      </c>
      <c r="K35" s="22" t="s">
        <v>85</v>
      </c>
      <c r="L35" s="22">
        <v>4.45</v>
      </c>
      <c r="M35" s="1">
        <v>99.444999999999993</v>
      </c>
    </row>
    <row r="36" spans="1:14" x14ac:dyDescent="0.35">
      <c r="A36" s="1" t="s">
        <v>125</v>
      </c>
      <c r="B36" s="1" t="s">
        <v>126</v>
      </c>
      <c r="C36" s="1">
        <v>2002</v>
      </c>
      <c r="D36" s="1" t="s">
        <v>86</v>
      </c>
      <c r="E36" s="1" t="s">
        <v>88</v>
      </c>
      <c r="F36" s="1">
        <v>2017</v>
      </c>
      <c r="G36" s="1" t="s">
        <v>129</v>
      </c>
      <c r="H36" s="1">
        <v>265000</v>
      </c>
      <c r="I36" s="1">
        <v>4.4000000000000004</v>
      </c>
      <c r="J36" s="1">
        <f t="shared" si="2"/>
        <v>0</v>
      </c>
      <c r="K36" s="22" t="s">
        <v>85</v>
      </c>
      <c r="L36" s="22">
        <v>4.45</v>
      </c>
      <c r="M36" s="1">
        <v>99.444999999999993</v>
      </c>
    </row>
    <row r="37" spans="1:14" x14ac:dyDescent="0.35">
      <c r="A37" s="1" t="s">
        <v>125</v>
      </c>
      <c r="B37" s="1" t="s">
        <v>126</v>
      </c>
      <c r="C37" s="1">
        <v>2003</v>
      </c>
      <c r="D37" s="1" t="s">
        <v>86</v>
      </c>
      <c r="E37" s="1" t="s">
        <v>88</v>
      </c>
      <c r="F37" s="1">
        <v>2003</v>
      </c>
      <c r="G37" s="1" t="s">
        <v>129</v>
      </c>
      <c r="H37" s="1">
        <v>0</v>
      </c>
      <c r="I37" s="1" t="s">
        <v>85</v>
      </c>
      <c r="J37" s="1">
        <f>11999417-H37</f>
        <v>11999417</v>
      </c>
      <c r="K37" s="22" t="s">
        <v>85</v>
      </c>
      <c r="L37" s="22" t="s">
        <v>85</v>
      </c>
      <c r="M37" s="1" t="s">
        <v>85</v>
      </c>
    </row>
    <row r="38" spans="1:14" x14ac:dyDescent="0.35">
      <c r="A38" s="1" t="s">
        <v>125</v>
      </c>
      <c r="B38" s="1" t="s">
        <v>126</v>
      </c>
      <c r="C38" s="1">
        <v>2003</v>
      </c>
      <c r="D38" s="1" t="s">
        <v>86</v>
      </c>
      <c r="E38" s="1" t="s">
        <v>88</v>
      </c>
      <c r="F38" s="1">
        <v>2004</v>
      </c>
      <c r="G38" s="1" t="s">
        <v>129</v>
      </c>
      <c r="H38" s="1">
        <v>0</v>
      </c>
      <c r="I38" s="1" t="s">
        <v>85</v>
      </c>
      <c r="J38" s="1">
        <f t="shared" si="2"/>
        <v>11999417</v>
      </c>
      <c r="K38" s="22" t="s">
        <v>85</v>
      </c>
      <c r="L38" s="22" t="s">
        <v>85</v>
      </c>
      <c r="M38" s="1" t="s">
        <v>85</v>
      </c>
    </row>
    <row r="39" spans="1:14" x14ac:dyDescent="0.35">
      <c r="A39" s="1" t="s">
        <v>125</v>
      </c>
      <c r="B39" s="1" t="s">
        <v>126</v>
      </c>
      <c r="C39" s="1">
        <v>2003</v>
      </c>
      <c r="D39" s="1" t="s">
        <v>86</v>
      </c>
      <c r="E39" s="1" t="s">
        <v>88</v>
      </c>
      <c r="F39" s="1">
        <v>2005</v>
      </c>
      <c r="G39" s="1" t="s">
        <v>129</v>
      </c>
      <c r="H39" s="1">
        <v>0</v>
      </c>
      <c r="I39" s="1" t="s">
        <v>85</v>
      </c>
      <c r="J39" s="1">
        <f t="shared" si="2"/>
        <v>11999417</v>
      </c>
      <c r="K39" s="22" t="s">
        <v>85</v>
      </c>
      <c r="L39" s="22" t="s">
        <v>85</v>
      </c>
      <c r="M39" s="1" t="s">
        <v>85</v>
      </c>
    </row>
    <row r="40" spans="1:14" x14ac:dyDescent="0.35">
      <c r="A40" s="1" t="s">
        <v>125</v>
      </c>
      <c r="B40" s="1" t="s">
        <v>126</v>
      </c>
      <c r="C40" s="1">
        <v>2003</v>
      </c>
      <c r="D40" s="1" t="s">
        <v>86</v>
      </c>
      <c r="E40" s="1" t="s">
        <v>88</v>
      </c>
      <c r="F40" s="1">
        <v>2006</v>
      </c>
      <c r="G40" s="1" t="s">
        <v>129</v>
      </c>
      <c r="H40" s="1">
        <v>0</v>
      </c>
      <c r="I40" s="1" t="s">
        <v>85</v>
      </c>
      <c r="J40" s="1">
        <f t="shared" si="2"/>
        <v>11999417</v>
      </c>
      <c r="K40" s="22" t="s">
        <v>85</v>
      </c>
      <c r="L40" s="22" t="s">
        <v>85</v>
      </c>
      <c r="M40" s="1" t="s">
        <v>85</v>
      </c>
    </row>
    <row r="41" spans="1:14" x14ac:dyDescent="0.35">
      <c r="A41" s="1" t="s">
        <v>125</v>
      </c>
      <c r="B41" s="1" t="s">
        <v>126</v>
      </c>
      <c r="C41" s="1">
        <v>2003</v>
      </c>
      <c r="D41" s="1" t="s">
        <v>86</v>
      </c>
      <c r="E41" s="1" t="s">
        <v>88</v>
      </c>
      <c r="F41" s="1">
        <v>2007</v>
      </c>
      <c r="G41" s="1" t="s">
        <v>129</v>
      </c>
      <c r="H41" s="1">
        <v>0</v>
      </c>
      <c r="I41" s="1" t="s">
        <v>85</v>
      </c>
      <c r="J41" s="1">
        <f t="shared" si="2"/>
        <v>11999417</v>
      </c>
      <c r="K41" s="22" t="s">
        <v>85</v>
      </c>
      <c r="L41" s="22" t="s">
        <v>85</v>
      </c>
      <c r="M41" s="1" t="s">
        <v>85</v>
      </c>
    </row>
    <row r="42" spans="1:14" x14ac:dyDescent="0.35">
      <c r="A42" s="1" t="s">
        <v>125</v>
      </c>
      <c r="B42" s="1" t="s">
        <v>126</v>
      </c>
      <c r="C42" s="1">
        <v>2003</v>
      </c>
      <c r="D42" s="1" t="s">
        <v>86</v>
      </c>
      <c r="E42" s="1" t="s">
        <v>88</v>
      </c>
      <c r="F42" s="1">
        <v>2008</v>
      </c>
      <c r="G42" s="1" t="s">
        <v>129</v>
      </c>
      <c r="H42" s="1">
        <v>0</v>
      </c>
      <c r="I42" s="1" t="s">
        <v>85</v>
      </c>
      <c r="J42" s="1">
        <f t="shared" si="2"/>
        <v>11999417</v>
      </c>
      <c r="K42" s="22" t="s">
        <v>85</v>
      </c>
      <c r="L42" s="22" t="s">
        <v>85</v>
      </c>
      <c r="M42" s="1" t="s">
        <v>85</v>
      </c>
    </row>
    <row r="43" spans="1:14" x14ac:dyDescent="0.35">
      <c r="A43" s="1" t="s">
        <v>125</v>
      </c>
      <c r="B43" s="1" t="s">
        <v>126</v>
      </c>
      <c r="C43" s="1">
        <v>2003</v>
      </c>
      <c r="D43" s="1" t="s">
        <v>86</v>
      </c>
      <c r="E43" s="1" t="s">
        <v>88</v>
      </c>
      <c r="F43" s="1">
        <v>2009</v>
      </c>
      <c r="G43" s="1" t="s">
        <v>129</v>
      </c>
      <c r="H43" s="1">
        <v>0</v>
      </c>
      <c r="I43" s="1" t="s">
        <v>85</v>
      </c>
      <c r="J43" s="1">
        <f t="shared" si="2"/>
        <v>11999417</v>
      </c>
      <c r="K43" s="22" t="s">
        <v>85</v>
      </c>
      <c r="L43" s="22" t="s">
        <v>85</v>
      </c>
      <c r="M43" s="1" t="s">
        <v>85</v>
      </c>
    </row>
    <row r="44" spans="1:14" x14ac:dyDescent="0.35">
      <c r="A44" s="1" t="s">
        <v>125</v>
      </c>
      <c r="B44" s="1" t="s">
        <v>126</v>
      </c>
      <c r="C44" s="1">
        <v>2003</v>
      </c>
      <c r="D44" s="1" t="s">
        <v>86</v>
      </c>
      <c r="E44" s="1" t="s">
        <v>88</v>
      </c>
      <c r="F44" s="1">
        <v>2010</v>
      </c>
      <c r="G44" s="1" t="s">
        <v>129</v>
      </c>
      <c r="H44" s="1">
        <v>0</v>
      </c>
      <c r="I44" s="1" t="s">
        <v>85</v>
      </c>
      <c r="J44" s="1">
        <f t="shared" si="2"/>
        <v>11999417</v>
      </c>
      <c r="K44" s="22" t="s">
        <v>85</v>
      </c>
      <c r="L44" s="22" t="s">
        <v>85</v>
      </c>
      <c r="M44" s="1" t="s">
        <v>85</v>
      </c>
    </row>
    <row r="45" spans="1:14" x14ac:dyDescent="0.35">
      <c r="A45" s="1" t="s">
        <v>125</v>
      </c>
      <c r="B45" s="1" t="s">
        <v>126</v>
      </c>
      <c r="C45" s="1">
        <v>2003</v>
      </c>
      <c r="D45" s="1" t="s">
        <v>86</v>
      </c>
      <c r="E45" s="1" t="s">
        <v>88</v>
      </c>
      <c r="F45" s="1">
        <v>2011</v>
      </c>
      <c r="G45" s="1" t="s">
        <v>129</v>
      </c>
      <c r="H45" s="1">
        <v>451760</v>
      </c>
      <c r="I45" s="1" t="s">
        <v>85</v>
      </c>
      <c r="J45" s="1">
        <f t="shared" si="2"/>
        <v>11547657</v>
      </c>
      <c r="K45" s="22" t="s">
        <v>85</v>
      </c>
      <c r="L45" s="22">
        <v>3.6</v>
      </c>
      <c r="M45" s="1">
        <v>74.058999999999997</v>
      </c>
      <c r="N45" s="1" t="s">
        <v>211</v>
      </c>
    </row>
    <row r="46" spans="1:14" x14ac:dyDescent="0.35">
      <c r="A46" s="1" t="s">
        <v>125</v>
      </c>
      <c r="B46" s="1" t="s">
        <v>126</v>
      </c>
      <c r="C46" s="1">
        <v>2003</v>
      </c>
      <c r="D46" s="1" t="s">
        <v>86</v>
      </c>
      <c r="E46" s="1" t="s">
        <v>88</v>
      </c>
      <c r="F46" s="1">
        <v>2012</v>
      </c>
      <c r="G46" s="1" t="s">
        <v>129</v>
      </c>
      <c r="H46" s="1">
        <v>1370077</v>
      </c>
      <c r="I46" s="1" t="s">
        <v>85</v>
      </c>
      <c r="J46" s="1">
        <f t="shared" si="2"/>
        <v>10177580</v>
      </c>
      <c r="K46" s="22" t="s">
        <v>85</v>
      </c>
      <c r="L46" s="22">
        <v>3.7</v>
      </c>
      <c r="M46" s="1">
        <v>70.805000000000007</v>
      </c>
    </row>
    <row r="47" spans="1:14" x14ac:dyDescent="0.35">
      <c r="A47" s="1" t="s">
        <v>125</v>
      </c>
      <c r="B47" s="1" t="s">
        <v>126</v>
      </c>
      <c r="C47" s="1">
        <v>2003</v>
      </c>
      <c r="D47" s="1" t="s">
        <v>86</v>
      </c>
      <c r="E47" s="1" t="s">
        <v>88</v>
      </c>
      <c r="F47" s="1">
        <v>2013</v>
      </c>
      <c r="G47" s="1" t="s">
        <v>129</v>
      </c>
      <c r="H47" s="1">
        <v>1364505</v>
      </c>
      <c r="I47" s="1" t="s">
        <v>85</v>
      </c>
      <c r="J47" s="1">
        <f t="shared" si="2"/>
        <v>8813075</v>
      </c>
      <c r="K47" s="22" t="s">
        <v>85</v>
      </c>
      <c r="L47" s="22">
        <v>3.85</v>
      </c>
      <c r="M47" s="1">
        <v>67.216999999999999</v>
      </c>
    </row>
    <row r="48" spans="1:14" x14ac:dyDescent="0.35">
      <c r="A48" s="1" t="s">
        <v>125</v>
      </c>
      <c r="B48" s="1" t="s">
        <v>126</v>
      </c>
      <c r="C48" s="1">
        <v>2003</v>
      </c>
      <c r="D48" s="1" t="s">
        <v>86</v>
      </c>
      <c r="E48" s="1" t="s">
        <v>88</v>
      </c>
      <c r="F48" s="1">
        <v>2014</v>
      </c>
      <c r="G48" s="1" t="s">
        <v>129</v>
      </c>
      <c r="H48" s="1">
        <v>1291588</v>
      </c>
      <c r="I48" s="1" t="s">
        <v>85</v>
      </c>
      <c r="J48" s="1">
        <f t="shared" si="2"/>
        <v>7521487</v>
      </c>
      <c r="K48" s="22" t="s">
        <v>85</v>
      </c>
      <c r="L48" s="22">
        <v>4</v>
      </c>
      <c r="M48" s="1">
        <v>63.625</v>
      </c>
    </row>
    <row r="49" spans="1:13" x14ac:dyDescent="0.35">
      <c r="A49" s="1" t="s">
        <v>125</v>
      </c>
      <c r="B49" s="1" t="s">
        <v>126</v>
      </c>
      <c r="C49" s="1">
        <v>2003</v>
      </c>
      <c r="D49" s="1" t="s">
        <v>86</v>
      </c>
      <c r="E49" s="1" t="s">
        <v>88</v>
      </c>
      <c r="F49" s="1">
        <v>2015</v>
      </c>
      <c r="G49" s="1" t="s">
        <v>129</v>
      </c>
      <c r="H49" s="1">
        <v>1224922</v>
      </c>
      <c r="I49" s="1" t="s">
        <v>85</v>
      </c>
      <c r="J49" s="1">
        <f t="shared" si="2"/>
        <v>6296565</v>
      </c>
      <c r="K49" s="22" t="s">
        <v>85</v>
      </c>
      <c r="L49" s="22">
        <v>4.1100000000000003</v>
      </c>
      <c r="M49" s="1">
        <v>60.341000000000001</v>
      </c>
    </row>
    <row r="50" spans="1:13" x14ac:dyDescent="0.35">
      <c r="A50" s="1" t="s">
        <v>125</v>
      </c>
      <c r="B50" s="1" t="s">
        <v>126</v>
      </c>
      <c r="C50" s="1">
        <v>2003</v>
      </c>
      <c r="D50" s="1" t="s">
        <v>86</v>
      </c>
      <c r="E50" s="1" t="s">
        <v>88</v>
      </c>
      <c r="F50" s="1">
        <v>2016</v>
      </c>
      <c r="G50" s="1" t="s">
        <v>129</v>
      </c>
      <c r="H50" s="1">
        <v>1242806</v>
      </c>
      <c r="I50" s="1" t="s">
        <v>85</v>
      </c>
      <c r="J50" s="1">
        <f t="shared" si="2"/>
        <v>5053759</v>
      </c>
      <c r="K50" s="22" t="s">
        <v>85</v>
      </c>
      <c r="L50" s="22">
        <v>4.25</v>
      </c>
      <c r="M50" s="1">
        <v>56.878999999999998</v>
      </c>
    </row>
    <row r="51" spans="1:13" x14ac:dyDescent="0.35">
      <c r="A51" s="1" t="s">
        <v>125</v>
      </c>
      <c r="B51" s="1" t="s">
        <v>126</v>
      </c>
      <c r="C51" s="1">
        <v>2003</v>
      </c>
      <c r="D51" s="1" t="s">
        <v>86</v>
      </c>
      <c r="E51" s="1" t="s">
        <v>88</v>
      </c>
      <c r="F51" s="1">
        <v>2017</v>
      </c>
      <c r="G51" s="1" t="s">
        <v>129</v>
      </c>
      <c r="H51" s="1">
        <v>1179271</v>
      </c>
      <c r="I51" s="1" t="s">
        <v>85</v>
      </c>
      <c r="J51" s="1">
        <f t="shared" si="2"/>
        <v>3874488</v>
      </c>
      <c r="K51" s="22" t="s">
        <v>85</v>
      </c>
      <c r="L51" s="22">
        <v>4.34</v>
      </c>
      <c r="M51" s="1">
        <v>53.847999999999999</v>
      </c>
    </row>
    <row r="52" spans="1:13" x14ac:dyDescent="0.35">
      <c r="A52" s="1" t="s">
        <v>125</v>
      </c>
      <c r="B52" s="1" t="s">
        <v>126</v>
      </c>
      <c r="C52" s="1">
        <v>2003</v>
      </c>
      <c r="D52" s="1" t="s">
        <v>86</v>
      </c>
      <c r="E52" s="1" t="s">
        <v>88</v>
      </c>
      <c r="F52" s="1">
        <v>2018</v>
      </c>
      <c r="G52" s="1" t="s">
        <v>129</v>
      </c>
      <c r="H52" s="1">
        <v>1368914</v>
      </c>
      <c r="I52" s="1" t="s">
        <v>85</v>
      </c>
      <c r="J52" s="1">
        <f t="shared" si="2"/>
        <v>2505574</v>
      </c>
      <c r="K52" s="22" t="s">
        <v>85</v>
      </c>
      <c r="L52" s="22">
        <v>4.43</v>
      </c>
      <c r="M52" s="1">
        <v>50.889000000000003</v>
      </c>
    </row>
    <row r="53" spans="1:13" x14ac:dyDescent="0.35">
      <c r="A53" s="1" t="s">
        <v>125</v>
      </c>
      <c r="B53" s="1" t="s">
        <v>126</v>
      </c>
      <c r="C53" s="1">
        <v>2003</v>
      </c>
      <c r="D53" s="1" t="s">
        <v>86</v>
      </c>
      <c r="E53" s="1" t="s">
        <v>88</v>
      </c>
      <c r="F53" s="1">
        <v>2019</v>
      </c>
      <c r="G53" s="1" t="s">
        <v>129</v>
      </c>
      <c r="H53" s="1">
        <v>1291442</v>
      </c>
      <c r="I53" s="1" t="s">
        <v>85</v>
      </c>
      <c r="J53" s="1">
        <f t="shared" si="2"/>
        <v>1214132</v>
      </c>
      <c r="K53" s="22" t="s">
        <v>85</v>
      </c>
      <c r="L53" s="22">
        <v>4.5199999999999996</v>
      </c>
      <c r="M53" s="1">
        <v>48.009</v>
      </c>
    </row>
    <row r="54" spans="1:13" x14ac:dyDescent="0.35">
      <c r="A54" s="1" t="s">
        <v>125</v>
      </c>
      <c r="B54" s="1" t="s">
        <v>126</v>
      </c>
      <c r="C54" s="1">
        <v>2003</v>
      </c>
      <c r="D54" s="1" t="s">
        <v>86</v>
      </c>
      <c r="E54" s="1" t="s">
        <v>88</v>
      </c>
      <c r="F54" s="1">
        <v>2020</v>
      </c>
      <c r="G54" s="1" t="s">
        <v>129</v>
      </c>
      <c r="H54" s="1">
        <v>1214132</v>
      </c>
      <c r="I54" s="1" t="s">
        <v>85</v>
      </c>
      <c r="J54" s="1">
        <f t="shared" si="2"/>
        <v>0</v>
      </c>
      <c r="K54" s="22" t="s">
        <v>85</v>
      </c>
      <c r="L54" s="22">
        <v>4.62</v>
      </c>
      <c r="M54" s="1">
        <v>45.134999999999998</v>
      </c>
    </row>
    <row r="55" spans="1:13" x14ac:dyDescent="0.35">
      <c r="A55" s="1" t="s">
        <v>125</v>
      </c>
      <c r="B55" s="1" t="s">
        <v>126</v>
      </c>
      <c r="C55" s="1">
        <v>2003</v>
      </c>
      <c r="D55" s="1" t="s">
        <v>86</v>
      </c>
      <c r="E55" s="1" t="s">
        <v>88</v>
      </c>
      <c r="F55" s="1">
        <v>2007</v>
      </c>
      <c r="G55" s="1" t="s">
        <v>129</v>
      </c>
      <c r="H55" s="1">
        <v>0</v>
      </c>
      <c r="I55" s="1">
        <v>4.25</v>
      </c>
      <c r="J55" s="1">
        <f>25000000-H55</f>
        <v>25000000</v>
      </c>
      <c r="K55" s="22" t="s">
        <v>85</v>
      </c>
      <c r="L55" s="22" t="s">
        <v>85</v>
      </c>
      <c r="M55" s="1" t="s">
        <v>85</v>
      </c>
    </row>
    <row r="56" spans="1:13" x14ac:dyDescent="0.35">
      <c r="A56" s="1" t="s">
        <v>125</v>
      </c>
      <c r="B56" s="1" t="s">
        <v>126</v>
      </c>
      <c r="C56" s="1">
        <v>2003</v>
      </c>
      <c r="D56" s="1" t="s">
        <v>86</v>
      </c>
      <c r="E56" s="1" t="s">
        <v>88</v>
      </c>
      <c r="F56" s="1">
        <v>2008</v>
      </c>
      <c r="G56" s="1" t="s">
        <v>129</v>
      </c>
      <c r="H56" s="1">
        <v>0</v>
      </c>
      <c r="I56" s="1">
        <v>4.25</v>
      </c>
      <c r="J56" s="1">
        <f t="shared" si="2"/>
        <v>25000000</v>
      </c>
      <c r="K56" s="22" t="s">
        <v>85</v>
      </c>
      <c r="L56" s="22" t="s">
        <v>85</v>
      </c>
      <c r="M56" s="1" t="s">
        <v>85</v>
      </c>
    </row>
    <row r="57" spans="1:13" x14ac:dyDescent="0.35">
      <c r="A57" s="1" t="s">
        <v>125</v>
      </c>
      <c r="B57" s="1" t="s">
        <v>126</v>
      </c>
      <c r="C57" s="1">
        <v>2003</v>
      </c>
      <c r="D57" s="1" t="s">
        <v>86</v>
      </c>
      <c r="E57" s="1" t="s">
        <v>88</v>
      </c>
      <c r="F57" s="1">
        <v>2009</v>
      </c>
      <c r="G57" s="1" t="s">
        <v>129</v>
      </c>
      <c r="H57" s="1">
        <v>0</v>
      </c>
      <c r="I57" s="1">
        <v>4.25</v>
      </c>
      <c r="J57" s="1">
        <f t="shared" si="2"/>
        <v>25000000</v>
      </c>
      <c r="K57" s="22" t="s">
        <v>85</v>
      </c>
      <c r="L57" s="22" t="s">
        <v>85</v>
      </c>
      <c r="M57" s="1" t="s">
        <v>85</v>
      </c>
    </row>
    <row r="58" spans="1:13" x14ac:dyDescent="0.35">
      <c r="A58" s="1" t="s">
        <v>125</v>
      </c>
      <c r="B58" s="1" t="s">
        <v>126</v>
      </c>
      <c r="C58" s="1">
        <v>2003</v>
      </c>
      <c r="D58" s="1" t="s">
        <v>86</v>
      </c>
      <c r="E58" s="1" t="s">
        <v>88</v>
      </c>
      <c r="F58" s="1">
        <v>2010</v>
      </c>
      <c r="G58" s="1" t="s">
        <v>129</v>
      </c>
      <c r="H58" s="1">
        <v>0</v>
      </c>
      <c r="I58" s="1">
        <v>4.25</v>
      </c>
      <c r="J58" s="1">
        <f t="shared" si="2"/>
        <v>25000000</v>
      </c>
      <c r="K58" s="22" t="s">
        <v>85</v>
      </c>
      <c r="L58" s="22" t="s">
        <v>85</v>
      </c>
      <c r="M58" s="1" t="s">
        <v>85</v>
      </c>
    </row>
    <row r="59" spans="1:13" x14ac:dyDescent="0.35">
      <c r="A59" s="1" t="s">
        <v>125</v>
      </c>
      <c r="B59" s="1" t="s">
        <v>126</v>
      </c>
      <c r="C59" s="1">
        <v>2003</v>
      </c>
      <c r="D59" s="1" t="s">
        <v>86</v>
      </c>
      <c r="E59" s="1" t="s">
        <v>88</v>
      </c>
      <c r="F59" s="1">
        <v>2011</v>
      </c>
      <c r="G59" s="1" t="s">
        <v>129</v>
      </c>
      <c r="H59" s="1">
        <v>125000</v>
      </c>
      <c r="I59" s="1">
        <v>4.25</v>
      </c>
      <c r="J59" s="1">
        <f t="shared" si="2"/>
        <v>24875000</v>
      </c>
      <c r="K59" s="22" t="s">
        <v>85</v>
      </c>
      <c r="L59" s="22" t="s">
        <v>85</v>
      </c>
      <c r="M59" s="1">
        <v>101.38200000000001</v>
      </c>
    </row>
    <row r="60" spans="1:13" x14ac:dyDescent="0.35">
      <c r="A60" s="1" t="s">
        <v>125</v>
      </c>
      <c r="B60" s="1" t="s">
        <v>126</v>
      </c>
      <c r="C60" s="1">
        <v>2003</v>
      </c>
      <c r="D60" s="1" t="s">
        <v>86</v>
      </c>
      <c r="E60" s="1" t="s">
        <v>88</v>
      </c>
      <c r="F60" s="1">
        <v>2012</v>
      </c>
      <c r="G60" s="1" t="s">
        <v>129</v>
      </c>
      <c r="H60" s="1">
        <v>135000</v>
      </c>
      <c r="I60" s="1">
        <v>4.25</v>
      </c>
      <c r="J60" s="1">
        <f t="shared" si="2"/>
        <v>24740000</v>
      </c>
      <c r="K60" s="22" t="s">
        <v>85</v>
      </c>
      <c r="L60" s="22" t="s">
        <v>85</v>
      </c>
      <c r="M60" s="1">
        <v>101.429</v>
      </c>
    </row>
    <row r="61" spans="1:13" x14ac:dyDescent="0.35">
      <c r="A61" s="1" t="s">
        <v>125</v>
      </c>
      <c r="B61" s="1" t="s">
        <v>126</v>
      </c>
      <c r="C61" s="1">
        <v>2003</v>
      </c>
      <c r="D61" s="1" t="s">
        <v>86</v>
      </c>
      <c r="E61" s="1" t="s">
        <v>88</v>
      </c>
      <c r="F61" s="1">
        <v>2013</v>
      </c>
      <c r="G61" s="1" t="s">
        <v>129</v>
      </c>
      <c r="H61" s="1">
        <v>135000</v>
      </c>
      <c r="I61" s="1">
        <v>4.25</v>
      </c>
      <c r="J61" s="1">
        <f t="shared" si="2"/>
        <v>24605000</v>
      </c>
      <c r="K61" s="22" t="s">
        <v>85</v>
      </c>
      <c r="L61" s="22" t="s">
        <v>85</v>
      </c>
      <c r="M61" s="1">
        <v>101.834</v>
      </c>
    </row>
    <row r="62" spans="1:13" x14ac:dyDescent="0.35">
      <c r="A62" s="1" t="s">
        <v>125</v>
      </c>
      <c r="B62" s="1" t="s">
        <v>126</v>
      </c>
      <c r="C62" s="1">
        <v>2003</v>
      </c>
      <c r="D62" s="1" t="s">
        <v>86</v>
      </c>
      <c r="E62" s="1" t="s">
        <v>88</v>
      </c>
      <c r="F62" s="1">
        <v>2014</v>
      </c>
      <c r="G62" s="1" t="s">
        <v>129</v>
      </c>
      <c r="H62" s="1">
        <v>145000</v>
      </c>
      <c r="I62" s="1">
        <v>4.25</v>
      </c>
      <c r="J62" s="1">
        <f t="shared" si="2"/>
        <v>24460000</v>
      </c>
      <c r="K62" s="22" t="s">
        <v>85</v>
      </c>
      <c r="L62" s="22" t="s">
        <v>85</v>
      </c>
      <c r="M62" s="1">
        <v>101.255</v>
      </c>
    </row>
    <row r="63" spans="1:13" x14ac:dyDescent="0.35">
      <c r="A63" s="1" t="s">
        <v>125</v>
      </c>
      <c r="B63" s="1" t="s">
        <v>126</v>
      </c>
      <c r="C63" s="1">
        <v>2003</v>
      </c>
      <c r="D63" s="1" t="s">
        <v>86</v>
      </c>
      <c r="E63" s="1" t="s">
        <v>88</v>
      </c>
      <c r="F63" s="1">
        <v>2015</v>
      </c>
      <c r="G63" s="1" t="s">
        <v>129</v>
      </c>
      <c r="H63" s="1">
        <v>150000</v>
      </c>
      <c r="I63" s="1">
        <v>4.25</v>
      </c>
      <c r="J63" s="1">
        <f t="shared" si="2"/>
        <v>24310000</v>
      </c>
      <c r="K63" s="22" t="s">
        <v>85</v>
      </c>
      <c r="L63" s="22" t="s">
        <v>85</v>
      </c>
      <c r="M63" s="1">
        <v>101.117</v>
      </c>
    </row>
    <row r="64" spans="1:13" x14ac:dyDescent="0.35">
      <c r="A64" s="1" t="s">
        <v>125</v>
      </c>
      <c r="B64" s="1" t="s">
        <v>126</v>
      </c>
      <c r="C64" s="1">
        <v>2003</v>
      </c>
      <c r="D64" s="1" t="s">
        <v>86</v>
      </c>
      <c r="E64" s="1" t="s">
        <v>88</v>
      </c>
      <c r="F64" s="1">
        <v>2016</v>
      </c>
      <c r="G64" s="1" t="s">
        <v>129</v>
      </c>
      <c r="H64" s="1">
        <v>155000</v>
      </c>
      <c r="I64" s="1">
        <v>4.25</v>
      </c>
      <c r="J64" s="1">
        <f t="shared" si="2"/>
        <v>24155000</v>
      </c>
      <c r="K64" s="22" t="s">
        <v>85</v>
      </c>
      <c r="L64" s="22" t="s">
        <v>85</v>
      </c>
      <c r="M64" s="1">
        <v>102.762</v>
      </c>
    </row>
    <row r="65" spans="1:13" x14ac:dyDescent="0.35">
      <c r="A65" s="1" t="s">
        <v>125</v>
      </c>
      <c r="B65" s="1" t="s">
        <v>126</v>
      </c>
      <c r="C65" s="1">
        <v>2003</v>
      </c>
      <c r="D65" s="1" t="s">
        <v>86</v>
      </c>
      <c r="E65" s="1" t="s">
        <v>88</v>
      </c>
      <c r="F65" s="1">
        <v>2017</v>
      </c>
      <c r="G65" s="1" t="s">
        <v>129</v>
      </c>
      <c r="H65" s="1">
        <v>165000</v>
      </c>
      <c r="I65" s="1">
        <v>4.25</v>
      </c>
      <c r="J65" s="1">
        <f t="shared" si="2"/>
        <v>23990000</v>
      </c>
      <c r="K65" s="22" t="s">
        <v>85</v>
      </c>
      <c r="L65" s="22" t="s">
        <v>85</v>
      </c>
      <c r="M65" s="1">
        <v>100.23399999999999</v>
      </c>
    </row>
    <row r="66" spans="1:13" x14ac:dyDescent="0.35">
      <c r="A66" s="1" t="s">
        <v>125</v>
      </c>
      <c r="B66" s="1" t="s">
        <v>126</v>
      </c>
      <c r="C66" s="1">
        <v>2003</v>
      </c>
      <c r="D66" s="1" t="s">
        <v>86</v>
      </c>
      <c r="E66" s="1" t="s">
        <v>88</v>
      </c>
      <c r="F66" s="1">
        <v>2018</v>
      </c>
      <c r="G66" s="1" t="s">
        <v>129</v>
      </c>
      <c r="H66" s="1">
        <v>170000</v>
      </c>
      <c r="I66" s="1">
        <v>4.25</v>
      </c>
      <c r="J66" s="1">
        <f t="shared" si="2"/>
        <v>23820000</v>
      </c>
      <c r="K66" s="22" t="s">
        <v>85</v>
      </c>
      <c r="L66" s="22" t="s">
        <v>85</v>
      </c>
      <c r="M66" s="1">
        <v>99.372</v>
      </c>
    </row>
    <row r="67" spans="1:13" x14ac:dyDescent="0.35">
      <c r="A67" s="1" t="s">
        <v>125</v>
      </c>
      <c r="B67" s="1" t="s">
        <v>126</v>
      </c>
      <c r="C67" s="1">
        <v>2003</v>
      </c>
      <c r="D67" s="1" t="s">
        <v>86</v>
      </c>
      <c r="E67" s="1" t="s">
        <v>88</v>
      </c>
      <c r="F67" s="1">
        <v>2019</v>
      </c>
      <c r="G67" s="1" t="s">
        <v>129</v>
      </c>
      <c r="H67" s="1">
        <v>175000</v>
      </c>
      <c r="I67" s="1">
        <v>4.25</v>
      </c>
      <c r="J67" s="1">
        <f t="shared" si="2"/>
        <v>23645000</v>
      </c>
      <c r="K67" s="22" t="s">
        <v>85</v>
      </c>
      <c r="L67" s="22" t="s">
        <v>85</v>
      </c>
      <c r="M67" s="1">
        <v>98.483999999999995</v>
      </c>
    </row>
    <row r="68" spans="1:13" x14ac:dyDescent="0.35">
      <c r="A68" s="1" t="s">
        <v>125</v>
      </c>
      <c r="B68" s="1" t="s">
        <v>126</v>
      </c>
      <c r="C68" s="1">
        <v>2003</v>
      </c>
      <c r="D68" s="1" t="s">
        <v>86</v>
      </c>
      <c r="E68" s="1" t="s">
        <v>88</v>
      </c>
      <c r="F68" s="1">
        <v>2020</v>
      </c>
      <c r="G68" s="1" t="s">
        <v>129</v>
      </c>
      <c r="H68" s="1">
        <v>185000</v>
      </c>
      <c r="I68" s="1">
        <v>4.375</v>
      </c>
      <c r="J68" s="1">
        <f t="shared" si="2"/>
        <v>23460000</v>
      </c>
      <c r="K68" s="22" t="s">
        <v>85</v>
      </c>
      <c r="L68" s="22" t="s">
        <v>85</v>
      </c>
      <c r="M68" s="1">
        <v>99.046999999999997</v>
      </c>
    </row>
    <row r="69" spans="1:13" x14ac:dyDescent="0.35">
      <c r="A69" s="1" t="s">
        <v>125</v>
      </c>
      <c r="B69" s="1" t="s">
        <v>126</v>
      </c>
      <c r="C69" s="1">
        <v>2003</v>
      </c>
      <c r="D69" s="1" t="s">
        <v>86</v>
      </c>
      <c r="E69" s="1" t="s">
        <v>88</v>
      </c>
      <c r="F69" s="1">
        <v>2021</v>
      </c>
      <c r="G69" s="1" t="s">
        <v>129</v>
      </c>
      <c r="H69" s="1">
        <v>2880000</v>
      </c>
      <c r="I69" s="1">
        <v>5</v>
      </c>
      <c r="J69" s="1">
        <f t="shared" si="2"/>
        <v>20580000</v>
      </c>
      <c r="K69" s="22" t="s">
        <v>85</v>
      </c>
      <c r="L69" s="22" t="s">
        <v>85</v>
      </c>
      <c r="M69" s="1">
        <v>104.422</v>
      </c>
    </row>
    <row r="70" spans="1:13" x14ac:dyDescent="0.35">
      <c r="A70" s="1" t="s">
        <v>125</v>
      </c>
      <c r="B70" s="1" t="s">
        <v>126</v>
      </c>
      <c r="C70" s="1">
        <v>2003</v>
      </c>
      <c r="D70" s="1" t="s">
        <v>86</v>
      </c>
      <c r="E70" s="1" t="s">
        <v>88</v>
      </c>
      <c r="F70" s="1">
        <v>2022</v>
      </c>
      <c r="G70" s="1" t="s">
        <v>129</v>
      </c>
      <c r="H70" s="1">
        <v>3025000</v>
      </c>
      <c r="I70" s="1">
        <v>5</v>
      </c>
      <c r="J70" s="1">
        <f t="shared" si="2"/>
        <v>17555000</v>
      </c>
      <c r="K70" s="22" t="s">
        <v>85</v>
      </c>
      <c r="L70" s="22" t="s">
        <v>85</v>
      </c>
      <c r="M70" s="1">
        <v>104.178</v>
      </c>
    </row>
    <row r="71" spans="1:13" x14ac:dyDescent="0.35">
      <c r="A71" s="1" t="s">
        <v>125</v>
      </c>
      <c r="B71" s="1" t="s">
        <v>126</v>
      </c>
      <c r="C71" s="1">
        <v>2003</v>
      </c>
      <c r="D71" s="1" t="s">
        <v>86</v>
      </c>
      <c r="E71" s="1" t="s">
        <v>88</v>
      </c>
      <c r="F71" s="1">
        <v>2023</v>
      </c>
      <c r="G71" s="1" t="s">
        <v>129</v>
      </c>
      <c r="H71" s="1">
        <v>3175000</v>
      </c>
      <c r="I71" s="1">
        <v>5</v>
      </c>
      <c r="J71" s="1">
        <f t="shared" si="2"/>
        <v>14380000</v>
      </c>
      <c r="K71" s="22" t="s">
        <v>85</v>
      </c>
      <c r="L71" s="22" t="s">
        <v>85</v>
      </c>
      <c r="M71" s="1">
        <v>103.93600000000001</v>
      </c>
    </row>
    <row r="72" spans="1:13" x14ac:dyDescent="0.35">
      <c r="A72" s="1" t="s">
        <v>125</v>
      </c>
      <c r="B72" s="1" t="s">
        <v>126</v>
      </c>
      <c r="C72" s="1">
        <v>2003</v>
      </c>
      <c r="D72" s="1" t="s">
        <v>86</v>
      </c>
      <c r="E72" s="1" t="s">
        <v>88</v>
      </c>
      <c r="F72" s="1">
        <v>2024</v>
      </c>
      <c r="G72" s="1" t="s">
        <v>129</v>
      </c>
      <c r="H72" s="1">
        <v>3335000</v>
      </c>
      <c r="I72" s="1">
        <v>5</v>
      </c>
      <c r="J72" s="1">
        <f t="shared" si="2"/>
        <v>11045000</v>
      </c>
      <c r="K72" s="22" t="s">
        <v>85</v>
      </c>
      <c r="L72" s="22" t="s">
        <v>85</v>
      </c>
      <c r="M72" s="1">
        <v>103.77500000000001</v>
      </c>
    </row>
    <row r="73" spans="1:13" x14ac:dyDescent="0.35">
      <c r="A73" s="1" t="s">
        <v>125</v>
      </c>
      <c r="B73" s="1" t="s">
        <v>126</v>
      </c>
      <c r="C73" s="1">
        <v>2003</v>
      </c>
      <c r="D73" s="1" t="s">
        <v>86</v>
      </c>
      <c r="E73" s="1" t="s">
        <v>121</v>
      </c>
      <c r="F73" s="1">
        <v>2025</v>
      </c>
      <c r="G73" s="1" t="s">
        <v>129</v>
      </c>
      <c r="H73" s="1">
        <v>3505000</v>
      </c>
      <c r="I73" s="1">
        <v>5</v>
      </c>
      <c r="J73" s="1">
        <f t="shared" si="2"/>
        <v>7540000</v>
      </c>
      <c r="K73" s="22" t="s">
        <v>85</v>
      </c>
      <c r="L73" s="22" t="s">
        <v>85</v>
      </c>
      <c r="M73" s="1">
        <v>103.614</v>
      </c>
    </row>
    <row r="74" spans="1:13" x14ac:dyDescent="0.35">
      <c r="A74" s="1" t="s">
        <v>125</v>
      </c>
      <c r="B74" s="1" t="s">
        <v>126</v>
      </c>
      <c r="C74" s="1">
        <v>2003</v>
      </c>
      <c r="D74" s="1" t="s">
        <v>86</v>
      </c>
      <c r="E74" s="1" t="s">
        <v>121</v>
      </c>
      <c r="F74" s="1">
        <v>2026</v>
      </c>
      <c r="G74" s="1" t="s">
        <v>129</v>
      </c>
      <c r="H74" s="1">
        <v>3680000</v>
      </c>
      <c r="I74" s="1">
        <v>5</v>
      </c>
      <c r="J74" s="1">
        <f t="shared" si="2"/>
        <v>3860000</v>
      </c>
      <c r="K74" s="22" t="s">
        <v>85</v>
      </c>
      <c r="L74" s="22" t="s">
        <v>85</v>
      </c>
      <c r="M74" s="1">
        <v>103.614</v>
      </c>
    </row>
    <row r="75" spans="1:13" x14ac:dyDescent="0.35">
      <c r="A75" s="1" t="s">
        <v>125</v>
      </c>
      <c r="B75" s="1" t="s">
        <v>126</v>
      </c>
      <c r="C75" s="1">
        <v>2003</v>
      </c>
      <c r="D75" s="1" t="s">
        <v>86</v>
      </c>
      <c r="E75" s="1" t="s">
        <v>121</v>
      </c>
      <c r="F75" s="1">
        <v>2027</v>
      </c>
      <c r="G75" s="1" t="s">
        <v>129</v>
      </c>
      <c r="H75" s="1">
        <v>3860000</v>
      </c>
      <c r="I75" s="1">
        <v>5</v>
      </c>
      <c r="J75" s="1">
        <f t="shared" si="2"/>
        <v>0</v>
      </c>
      <c r="K75" s="22" t="s">
        <v>85</v>
      </c>
      <c r="L75" s="22" t="s">
        <v>85</v>
      </c>
      <c r="M75" s="1">
        <v>103.614</v>
      </c>
    </row>
    <row r="76" spans="1:13" x14ac:dyDescent="0.35">
      <c r="A76" s="1" t="s">
        <v>125</v>
      </c>
      <c r="B76" s="1" t="s">
        <v>126</v>
      </c>
      <c r="C76" s="1">
        <v>2011</v>
      </c>
      <c r="D76" s="1" t="s">
        <v>86</v>
      </c>
      <c r="E76" s="1" t="s">
        <v>88</v>
      </c>
      <c r="F76" s="1">
        <v>2012</v>
      </c>
      <c r="G76" s="1" t="s">
        <v>129</v>
      </c>
      <c r="H76" s="1">
        <v>0</v>
      </c>
      <c r="I76" s="1">
        <v>2.35</v>
      </c>
      <c r="J76" s="1">
        <f>50000000-H76</f>
        <v>50000000</v>
      </c>
      <c r="K76" s="22">
        <v>0</v>
      </c>
      <c r="L76" s="22">
        <v>2.4</v>
      </c>
      <c r="M76" s="1" t="s">
        <v>85</v>
      </c>
    </row>
    <row r="77" spans="1:13" x14ac:dyDescent="0.35">
      <c r="A77" s="1" t="s">
        <v>125</v>
      </c>
      <c r="B77" s="1" t="s">
        <v>126</v>
      </c>
      <c r="C77" s="1">
        <v>2011</v>
      </c>
      <c r="D77" s="1" t="s">
        <v>86</v>
      </c>
      <c r="E77" s="1" t="s">
        <v>88</v>
      </c>
      <c r="F77" s="1">
        <v>2013</v>
      </c>
      <c r="G77" s="1" t="s">
        <v>129</v>
      </c>
      <c r="H77" s="1">
        <v>0</v>
      </c>
      <c r="I77" s="1">
        <v>2.35</v>
      </c>
      <c r="J77" s="1">
        <f t="shared" si="2"/>
        <v>50000000</v>
      </c>
      <c r="K77" s="22">
        <f>1274258.13*2</f>
        <v>2548516.2599999998</v>
      </c>
      <c r="L77" s="22">
        <v>2.4</v>
      </c>
      <c r="M77" s="1" t="s">
        <v>85</v>
      </c>
    </row>
    <row r="78" spans="1:13" x14ac:dyDescent="0.35">
      <c r="A78" s="1" t="s">
        <v>125</v>
      </c>
      <c r="B78" s="1" t="s">
        <v>126</v>
      </c>
      <c r="C78" s="1">
        <v>2011</v>
      </c>
      <c r="D78" s="1" t="s">
        <v>86</v>
      </c>
      <c r="E78" s="1" t="s">
        <v>88</v>
      </c>
      <c r="F78" s="1">
        <v>2014</v>
      </c>
      <c r="G78" s="1" t="s">
        <v>129</v>
      </c>
      <c r="H78" s="1">
        <v>0</v>
      </c>
      <c r="I78" s="1">
        <v>2.35</v>
      </c>
      <c r="J78" s="1">
        <f t="shared" si="2"/>
        <v>50000000</v>
      </c>
      <c r="K78" s="22">
        <f>1274258.13*2</f>
        <v>2548516.2599999998</v>
      </c>
      <c r="L78" s="22">
        <v>2.4</v>
      </c>
      <c r="M78" s="1" t="s">
        <v>85</v>
      </c>
    </row>
    <row r="79" spans="1:13" x14ac:dyDescent="0.35">
      <c r="A79" s="1" t="s">
        <v>125</v>
      </c>
      <c r="B79" s="1" t="s">
        <v>126</v>
      </c>
      <c r="C79" s="1">
        <v>2011</v>
      </c>
      <c r="D79" s="1" t="s">
        <v>86</v>
      </c>
      <c r="E79" s="1" t="s">
        <v>88</v>
      </c>
      <c r="F79" s="1">
        <v>2015</v>
      </c>
      <c r="G79" s="1" t="s">
        <v>129</v>
      </c>
      <c r="H79" s="1">
        <v>315000</v>
      </c>
      <c r="I79" s="1">
        <v>2.35</v>
      </c>
      <c r="J79" s="1">
        <f t="shared" si="2"/>
        <v>49685000</v>
      </c>
      <c r="K79" s="22">
        <f>1274258.13*2</f>
        <v>2548516.2599999998</v>
      </c>
      <c r="L79" s="22">
        <v>2.4</v>
      </c>
      <c r="M79" s="1" t="s">
        <v>85</v>
      </c>
    </row>
    <row r="80" spans="1:13" x14ac:dyDescent="0.35">
      <c r="A80" s="1" t="s">
        <v>125</v>
      </c>
      <c r="B80" s="1" t="s">
        <v>126</v>
      </c>
      <c r="C80" s="1">
        <v>2011</v>
      </c>
      <c r="D80" s="1" t="s">
        <v>86</v>
      </c>
      <c r="E80" s="1" t="s">
        <v>88</v>
      </c>
      <c r="F80" s="1">
        <v>2016</v>
      </c>
      <c r="G80" s="1" t="s">
        <v>129</v>
      </c>
      <c r="H80" s="1">
        <v>165000</v>
      </c>
      <c r="I80" s="1">
        <v>2.6</v>
      </c>
      <c r="J80" s="1">
        <f t="shared" si="2"/>
        <v>49520000</v>
      </c>
      <c r="K80" s="22">
        <f>1270557*2</f>
        <v>2541114</v>
      </c>
      <c r="L80" s="22">
        <v>2.61</v>
      </c>
      <c r="M80" s="1" t="s">
        <v>85</v>
      </c>
    </row>
    <row r="81" spans="1:13" x14ac:dyDescent="0.35">
      <c r="A81" s="1" t="s">
        <v>125</v>
      </c>
      <c r="B81" s="1" t="s">
        <v>126</v>
      </c>
      <c r="C81" s="1">
        <v>2011</v>
      </c>
      <c r="D81" s="1" t="s">
        <v>86</v>
      </c>
      <c r="E81" s="1" t="s">
        <v>88</v>
      </c>
      <c r="F81" s="1">
        <v>2017</v>
      </c>
      <c r="G81" s="1" t="s">
        <v>129</v>
      </c>
      <c r="H81" s="1">
        <v>170000</v>
      </c>
      <c r="I81" s="1">
        <v>2.8</v>
      </c>
      <c r="J81" s="1">
        <f t="shared" si="2"/>
        <v>49350000</v>
      </c>
      <c r="K81" s="22">
        <f>1268412*2</f>
        <v>2536824</v>
      </c>
      <c r="L81" s="22">
        <v>2.85</v>
      </c>
      <c r="M81" s="1" t="s">
        <v>85</v>
      </c>
    </row>
    <row r="82" spans="1:13" x14ac:dyDescent="0.35">
      <c r="A82" s="1" t="s">
        <v>125</v>
      </c>
      <c r="B82" s="1" t="s">
        <v>126</v>
      </c>
      <c r="C82" s="1">
        <v>2011</v>
      </c>
      <c r="D82" s="1" t="s">
        <v>86</v>
      </c>
      <c r="E82" s="1" t="s">
        <v>88</v>
      </c>
      <c r="F82" s="1">
        <v>2018</v>
      </c>
      <c r="G82" s="1" t="s">
        <v>129</v>
      </c>
      <c r="H82" s="1">
        <v>155000</v>
      </c>
      <c r="I82" s="1">
        <v>3</v>
      </c>
      <c r="J82" s="1">
        <f t="shared" si="2"/>
        <v>49195000</v>
      </c>
      <c r="K82" s="22">
        <f>1266032*2</f>
        <v>2532064</v>
      </c>
      <c r="L82" s="22">
        <v>3.08</v>
      </c>
      <c r="M82" s="1" t="s">
        <v>85</v>
      </c>
    </row>
    <row r="83" spans="1:13" x14ac:dyDescent="0.35">
      <c r="A83" s="1" t="s">
        <v>125</v>
      </c>
      <c r="B83" s="1" t="s">
        <v>126</v>
      </c>
      <c r="C83" s="1">
        <v>2011</v>
      </c>
      <c r="D83" s="1" t="s">
        <v>86</v>
      </c>
      <c r="E83" s="1" t="s">
        <v>88</v>
      </c>
      <c r="F83" s="1">
        <v>2019</v>
      </c>
      <c r="G83" s="1" t="s">
        <v>129</v>
      </c>
      <c r="H83" s="1">
        <v>105000</v>
      </c>
      <c r="I83" s="1">
        <v>3.25</v>
      </c>
      <c r="J83" s="1">
        <f t="shared" si="2"/>
        <v>49090000</v>
      </c>
      <c r="K83" s="22">
        <f>1263707*2</f>
        <v>2527414</v>
      </c>
      <c r="L83" s="22">
        <v>3.34</v>
      </c>
      <c r="M83" s="1" t="s">
        <v>85</v>
      </c>
    </row>
    <row r="84" spans="1:13" x14ac:dyDescent="0.35">
      <c r="A84" s="1" t="s">
        <v>125</v>
      </c>
      <c r="B84" s="1" t="s">
        <v>126</v>
      </c>
      <c r="C84" s="1">
        <v>2011</v>
      </c>
      <c r="D84" s="1" t="s">
        <v>86</v>
      </c>
      <c r="E84" s="1" t="s">
        <v>88</v>
      </c>
      <c r="F84" s="1">
        <v>2020</v>
      </c>
      <c r="G84" s="1" t="s">
        <v>129</v>
      </c>
      <c r="H84" s="1">
        <v>100000</v>
      </c>
      <c r="I84" s="1">
        <v>3.65</v>
      </c>
      <c r="J84" s="1">
        <f t="shared" si="2"/>
        <v>48990000</v>
      </c>
      <c r="K84" s="22">
        <f>1262001*2</f>
        <v>2524002</v>
      </c>
      <c r="L84" s="22">
        <v>3.74</v>
      </c>
      <c r="M84" s="1" t="s">
        <v>85</v>
      </c>
    </row>
    <row r="85" spans="1:13" x14ac:dyDescent="0.35">
      <c r="A85" s="1" t="s">
        <v>125</v>
      </c>
      <c r="B85" s="1" t="s">
        <v>126</v>
      </c>
      <c r="C85" s="1">
        <v>2011</v>
      </c>
      <c r="D85" s="1" t="s">
        <v>86</v>
      </c>
      <c r="E85" s="1" t="s">
        <v>88</v>
      </c>
      <c r="F85" s="1">
        <v>2021</v>
      </c>
      <c r="G85" s="1" t="s">
        <v>129</v>
      </c>
      <c r="H85" s="1">
        <v>110000</v>
      </c>
      <c r="I85" s="1">
        <v>4</v>
      </c>
      <c r="J85" s="1">
        <f t="shared" ref="J85:J96" si="3">J84-H85</f>
        <v>48880000</v>
      </c>
      <c r="K85" s="22">
        <f>1260176*2</f>
        <v>2520352</v>
      </c>
      <c r="L85" s="22">
        <v>4</v>
      </c>
      <c r="M85" s="1" t="s">
        <v>85</v>
      </c>
    </row>
    <row r="86" spans="1:13" x14ac:dyDescent="0.35">
      <c r="A86" s="1" t="s">
        <v>125</v>
      </c>
      <c r="B86" s="1" t="s">
        <v>126</v>
      </c>
      <c r="C86" s="1">
        <v>2011</v>
      </c>
      <c r="D86" s="1" t="s">
        <v>86</v>
      </c>
      <c r="E86" s="1" t="s">
        <v>88</v>
      </c>
      <c r="F86" s="1">
        <v>2022</v>
      </c>
      <c r="G86" s="1" t="s">
        <v>129</v>
      </c>
      <c r="H86" s="1">
        <v>120000</v>
      </c>
      <c r="I86" s="1">
        <v>4.125</v>
      </c>
      <c r="J86" s="1">
        <f t="shared" si="3"/>
        <v>48760000</v>
      </c>
      <c r="K86" s="22">
        <f>1257976*2</f>
        <v>2515952</v>
      </c>
      <c r="L86" s="22">
        <v>4.16</v>
      </c>
      <c r="M86" s="1" t="s">
        <v>85</v>
      </c>
    </row>
    <row r="87" spans="1:13" x14ac:dyDescent="0.35">
      <c r="A87" s="1" t="s">
        <v>125</v>
      </c>
      <c r="B87" s="1" t="s">
        <v>126</v>
      </c>
      <c r="C87" s="1">
        <v>2011</v>
      </c>
      <c r="D87" s="1" t="s">
        <v>86</v>
      </c>
      <c r="E87" s="1" t="s">
        <v>88</v>
      </c>
      <c r="F87" s="1">
        <v>2023</v>
      </c>
      <c r="G87" s="1" t="s">
        <v>129</v>
      </c>
      <c r="H87" s="1">
        <v>125000</v>
      </c>
      <c r="I87" s="1">
        <v>4.25</v>
      </c>
      <c r="J87" s="1">
        <f t="shared" si="3"/>
        <v>48635000</v>
      </c>
      <c r="K87" s="22">
        <f>1255501*2</f>
        <v>2511002</v>
      </c>
      <c r="L87" s="22">
        <v>4.32</v>
      </c>
      <c r="M87" s="1" t="s">
        <v>85</v>
      </c>
    </row>
    <row r="88" spans="1:13" x14ac:dyDescent="0.35">
      <c r="A88" s="1" t="s">
        <v>125</v>
      </c>
      <c r="B88" s="1" t="s">
        <v>126</v>
      </c>
      <c r="C88" s="1">
        <v>2011</v>
      </c>
      <c r="D88" s="1" t="s">
        <v>86</v>
      </c>
      <c r="E88" s="1" t="s">
        <v>88</v>
      </c>
      <c r="F88" s="1">
        <v>2024</v>
      </c>
      <c r="G88" s="1" t="s">
        <v>129</v>
      </c>
      <c r="H88" s="1">
        <v>130000</v>
      </c>
      <c r="I88" s="1">
        <v>4.375</v>
      </c>
      <c r="J88" s="1">
        <f t="shared" si="3"/>
        <v>48505000</v>
      </c>
      <c r="K88" s="22">
        <f>1252844*2</f>
        <v>2505688</v>
      </c>
      <c r="L88" s="22">
        <v>4.49</v>
      </c>
      <c r="M88" s="1" t="s">
        <v>85</v>
      </c>
    </row>
    <row r="89" spans="1:13" x14ac:dyDescent="0.35">
      <c r="A89" s="1" t="s">
        <v>125</v>
      </c>
      <c r="B89" s="1" t="s">
        <v>126</v>
      </c>
      <c r="C89" s="1">
        <v>2011</v>
      </c>
      <c r="D89" s="1" t="s">
        <v>86</v>
      </c>
      <c r="E89" s="1" t="s">
        <v>88</v>
      </c>
      <c r="F89" s="1">
        <v>2025</v>
      </c>
      <c r="G89" s="1" t="s">
        <v>129</v>
      </c>
      <c r="H89" s="1">
        <v>155000</v>
      </c>
      <c r="I89" s="1">
        <v>4.5</v>
      </c>
      <c r="J89" s="1">
        <f t="shared" si="3"/>
        <v>48350000</v>
      </c>
      <c r="K89" s="22">
        <f>1250001*2</f>
        <v>2500002</v>
      </c>
      <c r="L89" s="22">
        <v>4.63</v>
      </c>
      <c r="M89" s="1" t="s">
        <v>85</v>
      </c>
    </row>
    <row r="90" spans="1:13" x14ac:dyDescent="0.35">
      <c r="A90" s="1" t="s">
        <v>125</v>
      </c>
      <c r="B90" s="1" t="s">
        <v>126</v>
      </c>
      <c r="C90" s="1">
        <v>2011</v>
      </c>
      <c r="D90" s="1" t="s">
        <v>86</v>
      </c>
      <c r="E90" s="1" t="s">
        <v>88</v>
      </c>
      <c r="F90" s="1">
        <v>2026</v>
      </c>
      <c r="G90" s="1" t="s">
        <v>129</v>
      </c>
      <c r="H90" s="1">
        <v>165000</v>
      </c>
      <c r="I90" s="1">
        <v>4.625</v>
      </c>
      <c r="J90" s="1">
        <f t="shared" si="3"/>
        <v>48185000</v>
      </c>
      <c r="K90" s="22">
        <f>1246513*2</f>
        <v>2493026</v>
      </c>
      <c r="L90" s="22">
        <v>4.75</v>
      </c>
      <c r="M90" s="1" t="s">
        <v>85</v>
      </c>
    </row>
    <row r="91" spans="1:13" x14ac:dyDescent="0.35">
      <c r="A91" s="1" t="s">
        <v>125</v>
      </c>
      <c r="B91" s="1" t="s">
        <v>126</v>
      </c>
      <c r="C91" s="1">
        <v>2011</v>
      </c>
      <c r="D91" s="1" t="s">
        <v>86</v>
      </c>
      <c r="E91" s="1" t="s">
        <v>88</v>
      </c>
      <c r="F91" s="1">
        <v>2027</v>
      </c>
      <c r="G91" s="1" t="s">
        <v>129</v>
      </c>
      <c r="H91" s="1">
        <v>140000</v>
      </c>
      <c r="I91" s="1">
        <v>4.8</v>
      </c>
      <c r="J91" s="1">
        <f t="shared" si="3"/>
        <v>48045000</v>
      </c>
      <c r="K91" s="22">
        <f>1242698*2</f>
        <v>2485396</v>
      </c>
      <c r="L91" s="22">
        <v>4.87</v>
      </c>
      <c r="M91" s="1" t="s">
        <v>85</v>
      </c>
    </row>
    <row r="92" spans="1:13" x14ac:dyDescent="0.35">
      <c r="A92" s="1" t="s">
        <v>125</v>
      </c>
      <c r="B92" s="1" t="s">
        <v>126</v>
      </c>
      <c r="C92" s="1">
        <v>2011</v>
      </c>
      <c r="D92" s="1" t="s">
        <v>86</v>
      </c>
      <c r="E92" s="1" t="s">
        <v>121</v>
      </c>
      <c r="F92" s="1">
        <v>2028</v>
      </c>
      <c r="G92" s="1" t="s">
        <v>129</v>
      </c>
      <c r="H92" s="1">
        <v>4185000</v>
      </c>
      <c r="I92" s="1">
        <v>5</v>
      </c>
      <c r="J92" s="1">
        <f t="shared" si="3"/>
        <v>43860000</v>
      </c>
      <c r="K92" s="22">
        <f>1239338*2</f>
        <v>2478676</v>
      </c>
      <c r="L92" s="22">
        <v>5.08</v>
      </c>
      <c r="M92" s="1" t="s">
        <v>85</v>
      </c>
    </row>
    <row r="93" spans="1:13" x14ac:dyDescent="0.35">
      <c r="A93" s="1" t="s">
        <v>125</v>
      </c>
      <c r="B93" s="1" t="s">
        <v>126</v>
      </c>
      <c r="C93" s="1">
        <v>2011</v>
      </c>
      <c r="D93" s="1" t="s">
        <v>86</v>
      </c>
      <c r="E93" s="1" t="s">
        <v>121</v>
      </c>
      <c r="F93" s="1">
        <v>2029</v>
      </c>
      <c r="G93" s="1" t="s">
        <v>129</v>
      </c>
      <c r="H93" s="1">
        <v>4385000</v>
      </c>
      <c r="I93" s="1">
        <v>5</v>
      </c>
      <c r="J93" s="1">
        <f t="shared" ref="J93:J95" si="4">J92-H93</f>
        <v>39475000</v>
      </c>
      <c r="K93" s="22">
        <f>1134713*2</f>
        <v>2269426</v>
      </c>
      <c r="L93" s="22">
        <v>5.08</v>
      </c>
      <c r="M93" s="1" t="s">
        <v>85</v>
      </c>
    </row>
    <row r="94" spans="1:13" x14ac:dyDescent="0.35">
      <c r="A94" s="1" t="s">
        <v>125</v>
      </c>
      <c r="B94" s="1" t="s">
        <v>126</v>
      </c>
      <c r="C94" s="1">
        <v>2011</v>
      </c>
      <c r="D94" s="1" t="s">
        <v>86</v>
      </c>
      <c r="E94" s="1" t="s">
        <v>121</v>
      </c>
      <c r="F94" s="1">
        <v>2030</v>
      </c>
      <c r="G94" s="1" t="s">
        <v>129</v>
      </c>
      <c r="H94" s="1">
        <v>4345000</v>
      </c>
      <c r="I94" s="1">
        <v>5</v>
      </c>
      <c r="J94" s="1">
        <f t="shared" si="4"/>
        <v>35130000</v>
      </c>
      <c r="K94" s="22">
        <f>1025088*2</f>
        <v>2050176</v>
      </c>
      <c r="L94" s="22">
        <v>5.08</v>
      </c>
      <c r="M94" s="1" t="s">
        <v>85</v>
      </c>
    </row>
    <row r="95" spans="1:13" x14ac:dyDescent="0.35">
      <c r="A95" s="1" t="s">
        <v>125</v>
      </c>
      <c r="B95" s="1" t="s">
        <v>126</v>
      </c>
      <c r="C95" s="1">
        <v>2011</v>
      </c>
      <c r="D95" s="1" t="s">
        <v>86</v>
      </c>
      <c r="E95" s="1" t="s">
        <v>121</v>
      </c>
      <c r="F95" s="1">
        <v>2031</v>
      </c>
      <c r="G95" s="1" t="s">
        <v>129</v>
      </c>
      <c r="H95" s="1">
        <v>4560000</v>
      </c>
      <c r="I95" s="1">
        <v>5</v>
      </c>
      <c r="J95" s="1">
        <f t="shared" si="4"/>
        <v>30570000</v>
      </c>
      <c r="K95" s="22">
        <f>916463*2</f>
        <v>1832926</v>
      </c>
      <c r="L95" s="22">
        <v>5.08</v>
      </c>
      <c r="M95" s="1" t="s">
        <v>85</v>
      </c>
    </row>
    <row r="96" spans="1:13" x14ac:dyDescent="0.35">
      <c r="A96" s="1" t="s">
        <v>125</v>
      </c>
      <c r="B96" s="1" t="s">
        <v>126</v>
      </c>
      <c r="C96" s="1">
        <v>2011</v>
      </c>
      <c r="D96" s="1" t="s">
        <v>86</v>
      </c>
      <c r="E96" s="1" t="s">
        <v>121</v>
      </c>
      <c r="F96" s="1">
        <v>2032</v>
      </c>
      <c r="G96" s="1" t="s">
        <v>129</v>
      </c>
      <c r="H96" s="1">
        <v>4685000</v>
      </c>
      <c r="I96" s="1">
        <v>5.25</v>
      </c>
      <c r="J96" s="1">
        <f t="shared" si="3"/>
        <v>25885000</v>
      </c>
      <c r="K96" s="22">
        <f>802463*2</f>
        <v>1604926</v>
      </c>
      <c r="L96" s="22">
        <v>5.27</v>
      </c>
      <c r="M96" s="1" t="s">
        <v>85</v>
      </c>
    </row>
    <row r="97" spans="1:13" x14ac:dyDescent="0.35">
      <c r="A97" s="1" t="s">
        <v>125</v>
      </c>
      <c r="B97" s="1" t="s">
        <v>126</v>
      </c>
      <c r="C97" s="1">
        <v>2011</v>
      </c>
      <c r="D97" s="1" t="s">
        <v>86</v>
      </c>
      <c r="E97" s="1" t="s">
        <v>121</v>
      </c>
      <c r="F97" s="1">
        <v>2033</v>
      </c>
      <c r="G97" s="1" t="s">
        <v>129</v>
      </c>
      <c r="H97" s="1">
        <v>5985000</v>
      </c>
      <c r="I97" s="1">
        <v>5.25</v>
      </c>
      <c r="J97" s="1">
        <f t="shared" ref="J97:J111" si="5">J96-H97</f>
        <v>19900000</v>
      </c>
      <c r="K97" s="22">
        <f>679481*2</f>
        <v>1358962</v>
      </c>
      <c r="L97" s="22">
        <v>5.27</v>
      </c>
      <c r="M97" s="1" t="s">
        <v>85</v>
      </c>
    </row>
    <row r="98" spans="1:13" x14ac:dyDescent="0.35">
      <c r="A98" s="1" t="s">
        <v>125</v>
      </c>
      <c r="B98" s="1" t="s">
        <v>126</v>
      </c>
      <c r="C98" s="1">
        <v>2011</v>
      </c>
      <c r="D98" s="1" t="s">
        <v>86</v>
      </c>
      <c r="E98" s="1" t="s">
        <v>121</v>
      </c>
      <c r="F98" s="1">
        <v>2034</v>
      </c>
      <c r="G98" s="1" t="s">
        <v>129</v>
      </c>
      <c r="H98" s="1">
        <v>6295000</v>
      </c>
      <c r="I98" s="1">
        <v>5.25</v>
      </c>
      <c r="J98" s="1">
        <f t="shared" si="5"/>
        <v>13605000</v>
      </c>
      <c r="K98" s="22">
        <f>522375*2</f>
        <v>1044750</v>
      </c>
      <c r="L98" s="22">
        <v>5.27</v>
      </c>
      <c r="M98" s="1" t="s">
        <v>85</v>
      </c>
    </row>
    <row r="99" spans="1:13" x14ac:dyDescent="0.35">
      <c r="A99" s="1" t="s">
        <v>125</v>
      </c>
      <c r="B99" s="1" t="s">
        <v>126</v>
      </c>
      <c r="C99" s="1">
        <v>2011</v>
      </c>
      <c r="D99" s="1" t="s">
        <v>86</v>
      </c>
      <c r="E99" s="1" t="s">
        <v>121</v>
      </c>
      <c r="F99" s="1">
        <v>2035</v>
      </c>
      <c r="G99" s="1" t="s">
        <v>129</v>
      </c>
      <c r="H99" s="1">
        <v>6630000</v>
      </c>
      <c r="I99" s="1">
        <v>5.25</v>
      </c>
      <c r="J99" s="1">
        <f t="shared" si="5"/>
        <v>6975000</v>
      </c>
      <c r="K99" s="22">
        <f>357131*2</f>
        <v>714262</v>
      </c>
      <c r="L99" s="22">
        <v>5.27</v>
      </c>
      <c r="M99" s="1" t="s">
        <v>85</v>
      </c>
    </row>
    <row r="100" spans="1:13" x14ac:dyDescent="0.35">
      <c r="A100" s="1" t="s">
        <v>125</v>
      </c>
      <c r="B100" s="1" t="s">
        <v>126</v>
      </c>
      <c r="C100" s="1">
        <v>2011</v>
      </c>
      <c r="D100" s="1" t="s">
        <v>86</v>
      </c>
      <c r="E100" s="1" t="s">
        <v>121</v>
      </c>
      <c r="F100" s="1">
        <v>2036</v>
      </c>
      <c r="G100" s="1" t="s">
        <v>129</v>
      </c>
      <c r="H100" s="1">
        <v>6975000</v>
      </c>
      <c r="I100" s="1">
        <v>5.25</v>
      </c>
      <c r="J100" s="1">
        <f t="shared" si="5"/>
        <v>0</v>
      </c>
      <c r="K100" s="22">
        <f>183094*2</f>
        <v>366188</v>
      </c>
      <c r="L100" s="22">
        <v>5.27</v>
      </c>
      <c r="M100" s="1" t="s">
        <v>85</v>
      </c>
    </row>
    <row r="101" spans="1:13" x14ac:dyDescent="0.35">
      <c r="A101" s="1" t="s">
        <v>125</v>
      </c>
      <c r="B101" s="1" t="s">
        <v>126</v>
      </c>
      <c r="C101" s="1">
        <v>2015</v>
      </c>
      <c r="D101" s="1" t="s">
        <v>86</v>
      </c>
      <c r="E101" s="1" t="s">
        <v>88</v>
      </c>
      <c r="F101" s="1">
        <v>2017</v>
      </c>
      <c r="G101" s="1" t="s">
        <v>129</v>
      </c>
      <c r="H101" s="1">
        <v>205000</v>
      </c>
      <c r="I101" s="1">
        <v>3</v>
      </c>
      <c r="J101" s="1">
        <f>25130000-H101</f>
        <v>24925000</v>
      </c>
      <c r="K101" s="22"/>
      <c r="L101" s="22">
        <v>1.0900000000000001</v>
      </c>
    </row>
    <row r="102" spans="1:13" x14ac:dyDescent="0.35">
      <c r="A102" s="1" t="s">
        <v>125</v>
      </c>
      <c r="B102" s="1" t="s">
        <v>126</v>
      </c>
      <c r="C102" s="1">
        <v>2015</v>
      </c>
      <c r="D102" s="1" t="s">
        <v>86</v>
      </c>
      <c r="E102" s="1" t="s">
        <v>88</v>
      </c>
      <c r="F102" s="1">
        <v>2018</v>
      </c>
      <c r="G102" s="1" t="s">
        <v>129</v>
      </c>
      <c r="H102" s="1">
        <v>280000</v>
      </c>
      <c r="I102" s="1">
        <v>4</v>
      </c>
      <c r="J102" s="1">
        <f t="shared" si="5"/>
        <v>24645000</v>
      </c>
      <c r="K102" s="22"/>
      <c r="L102" s="22">
        <v>1.42</v>
      </c>
    </row>
    <row r="103" spans="1:13" x14ac:dyDescent="0.35">
      <c r="A103" s="1" t="s">
        <v>125</v>
      </c>
      <c r="B103" s="1" t="s">
        <v>126</v>
      </c>
      <c r="C103" s="1">
        <v>2015</v>
      </c>
      <c r="D103" s="1" t="s">
        <v>86</v>
      </c>
      <c r="E103" s="1" t="s">
        <v>88</v>
      </c>
      <c r="F103" s="1">
        <v>2019</v>
      </c>
      <c r="G103" s="1" t="s">
        <v>129</v>
      </c>
      <c r="H103" s="1">
        <v>290000</v>
      </c>
      <c r="I103" s="1">
        <v>4</v>
      </c>
      <c r="J103" s="1">
        <f t="shared" si="5"/>
        <v>24355000</v>
      </c>
      <c r="K103" s="22"/>
      <c r="L103" s="22">
        <v>1.65</v>
      </c>
    </row>
    <row r="104" spans="1:13" x14ac:dyDescent="0.35">
      <c r="A104" s="1" t="s">
        <v>125</v>
      </c>
      <c r="B104" s="1" t="s">
        <v>126</v>
      </c>
      <c r="C104" s="1">
        <v>2015</v>
      </c>
      <c r="D104" s="1" t="s">
        <v>86</v>
      </c>
      <c r="E104" s="1" t="s">
        <v>88</v>
      </c>
      <c r="F104" s="1">
        <v>2020</v>
      </c>
      <c r="G104" s="1" t="s">
        <v>129</v>
      </c>
      <c r="H104" s="1">
        <v>305000</v>
      </c>
      <c r="I104" s="1">
        <v>4</v>
      </c>
      <c r="J104" s="1">
        <f t="shared" si="5"/>
        <v>24050000</v>
      </c>
      <c r="K104" s="22"/>
      <c r="L104" s="22">
        <v>1.86</v>
      </c>
    </row>
    <row r="105" spans="1:13" x14ac:dyDescent="0.35">
      <c r="A105" s="1" t="s">
        <v>125</v>
      </c>
      <c r="B105" s="1" t="s">
        <v>126</v>
      </c>
      <c r="C105" s="1">
        <v>2015</v>
      </c>
      <c r="D105" s="1" t="s">
        <v>86</v>
      </c>
      <c r="E105" s="1" t="s">
        <v>88</v>
      </c>
      <c r="F105" s="1">
        <v>2021</v>
      </c>
      <c r="G105" s="1" t="s">
        <v>129</v>
      </c>
      <c r="H105" s="1">
        <v>3000000</v>
      </c>
      <c r="I105" s="1">
        <v>5</v>
      </c>
      <c r="J105" s="1">
        <f t="shared" si="5"/>
        <v>21050000</v>
      </c>
      <c r="K105" s="22"/>
      <c r="L105" s="22">
        <v>2.04</v>
      </c>
    </row>
    <row r="106" spans="1:13" x14ac:dyDescent="0.35">
      <c r="A106" s="1" t="s">
        <v>125</v>
      </c>
      <c r="B106" s="1" t="s">
        <v>126</v>
      </c>
      <c r="C106" s="1">
        <v>2015</v>
      </c>
      <c r="D106" s="1" t="s">
        <v>86</v>
      </c>
      <c r="E106" s="1" t="s">
        <v>88</v>
      </c>
      <c r="F106" s="1">
        <v>2022</v>
      </c>
      <c r="G106" s="1" t="s">
        <v>129</v>
      </c>
      <c r="H106" s="1">
        <v>3155000</v>
      </c>
      <c r="I106" s="1">
        <v>5</v>
      </c>
      <c r="J106" s="1">
        <f t="shared" si="5"/>
        <v>17895000</v>
      </c>
      <c r="K106" s="22"/>
      <c r="L106" s="22">
        <v>2.2200000000000002</v>
      </c>
    </row>
    <row r="107" spans="1:13" x14ac:dyDescent="0.35">
      <c r="A107" s="1" t="s">
        <v>125</v>
      </c>
      <c r="B107" s="1" t="s">
        <v>126</v>
      </c>
      <c r="C107" s="1">
        <v>2015</v>
      </c>
      <c r="D107" s="1" t="s">
        <v>86</v>
      </c>
      <c r="E107" s="1" t="s">
        <v>88</v>
      </c>
      <c r="F107" s="1">
        <v>2023</v>
      </c>
      <c r="G107" s="1" t="s">
        <v>129</v>
      </c>
      <c r="H107" s="1">
        <v>3310000</v>
      </c>
      <c r="I107" s="1">
        <v>4</v>
      </c>
      <c r="J107" s="1">
        <f t="shared" si="5"/>
        <v>14585000</v>
      </c>
      <c r="K107" s="22"/>
      <c r="L107" s="22">
        <v>2.35</v>
      </c>
    </row>
    <row r="108" spans="1:13" x14ac:dyDescent="0.35">
      <c r="A108" s="1" t="s">
        <v>125</v>
      </c>
      <c r="B108" s="1" t="s">
        <v>126</v>
      </c>
      <c r="C108" s="1">
        <v>2015</v>
      </c>
      <c r="D108" s="1" t="s">
        <v>86</v>
      </c>
      <c r="E108" s="1" t="s">
        <v>88</v>
      </c>
      <c r="F108" s="1">
        <v>2024</v>
      </c>
      <c r="G108" s="1" t="s">
        <v>129</v>
      </c>
      <c r="H108" s="1">
        <v>3445000</v>
      </c>
      <c r="I108" s="1">
        <v>4</v>
      </c>
      <c r="J108" s="1">
        <f t="shared" si="5"/>
        <v>11140000</v>
      </c>
      <c r="K108" s="22"/>
      <c r="L108" s="22">
        <v>2.4700000000000002</v>
      </c>
    </row>
    <row r="109" spans="1:13" x14ac:dyDescent="0.35">
      <c r="A109" s="1" t="s">
        <v>125</v>
      </c>
      <c r="B109" s="1" t="s">
        <v>126</v>
      </c>
      <c r="C109" s="1">
        <v>2015</v>
      </c>
      <c r="D109" s="1" t="s">
        <v>86</v>
      </c>
      <c r="E109" s="1" t="s">
        <v>88</v>
      </c>
      <c r="F109" s="1">
        <v>2025</v>
      </c>
      <c r="G109" s="1" t="s">
        <v>129</v>
      </c>
      <c r="H109" s="1">
        <v>3585000</v>
      </c>
      <c r="I109" s="1">
        <v>4</v>
      </c>
      <c r="J109" s="1">
        <f t="shared" si="5"/>
        <v>7555000</v>
      </c>
      <c r="K109" s="22"/>
      <c r="L109" s="22">
        <v>2.62</v>
      </c>
    </row>
    <row r="110" spans="1:13" x14ac:dyDescent="0.35">
      <c r="A110" s="1" t="s">
        <v>125</v>
      </c>
      <c r="B110" s="1" t="s">
        <v>126</v>
      </c>
      <c r="C110" s="1">
        <v>2015</v>
      </c>
      <c r="D110" s="1" t="s">
        <v>86</v>
      </c>
      <c r="E110" s="1" t="s">
        <v>88</v>
      </c>
      <c r="F110" s="1">
        <v>2026</v>
      </c>
      <c r="G110" s="1" t="s">
        <v>129</v>
      </c>
      <c r="H110" s="1">
        <v>3730000</v>
      </c>
      <c r="I110" s="1">
        <v>2.75</v>
      </c>
      <c r="J110" s="1">
        <f t="shared" si="5"/>
        <v>3825000</v>
      </c>
      <c r="K110" s="22"/>
      <c r="L110" s="22">
        <v>2.93</v>
      </c>
    </row>
    <row r="111" spans="1:13" x14ac:dyDescent="0.35">
      <c r="A111" s="1" t="s">
        <v>125</v>
      </c>
      <c r="B111" s="1" t="s">
        <v>126</v>
      </c>
      <c r="C111" s="1">
        <v>2015</v>
      </c>
      <c r="D111" s="1" t="s">
        <v>86</v>
      </c>
      <c r="E111" s="1" t="s">
        <v>88</v>
      </c>
      <c r="F111" s="1">
        <v>2027</v>
      </c>
      <c r="G111" s="1" t="s">
        <v>129</v>
      </c>
      <c r="H111" s="1">
        <v>3825000</v>
      </c>
      <c r="I111" s="1">
        <v>3</v>
      </c>
      <c r="J111" s="1">
        <f t="shared" si="5"/>
        <v>0</v>
      </c>
      <c r="K111" s="22"/>
      <c r="L111" s="22">
        <v>3.03</v>
      </c>
    </row>
    <row r="112" spans="1:13" x14ac:dyDescent="0.35">
      <c r="K112" s="22"/>
    </row>
    <row r="113" spans="11:11" x14ac:dyDescent="0.35">
      <c r="K113" s="22"/>
    </row>
    <row r="114" spans="11:11" x14ac:dyDescent="0.35">
      <c r="K114" s="22"/>
    </row>
    <row r="115" spans="11:11" x14ac:dyDescent="0.35">
      <c r="K115" s="22"/>
    </row>
    <row r="116" spans="11:11" x14ac:dyDescent="0.35">
      <c r="K116" s="22"/>
    </row>
    <row r="117" spans="11:11" x14ac:dyDescent="0.35">
      <c r="K117" s="22"/>
    </row>
    <row r="118" spans="11:11" x14ac:dyDescent="0.35">
      <c r="K118" s="22"/>
    </row>
    <row r="119" spans="11:11" x14ac:dyDescent="0.35">
      <c r="K119" s="22"/>
    </row>
    <row r="120" spans="11:11" x14ac:dyDescent="0.35">
      <c r="K120" s="22"/>
    </row>
    <row r="121" spans="11:11" x14ac:dyDescent="0.35">
      <c r="K121" s="22"/>
    </row>
    <row r="122" spans="11:11" x14ac:dyDescent="0.35">
      <c r="K122" s="22"/>
    </row>
    <row r="123" spans="11:11" x14ac:dyDescent="0.35">
      <c r="K123" s="22"/>
    </row>
    <row r="124" spans="11:11" x14ac:dyDescent="0.35">
      <c r="K124" s="22"/>
    </row>
    <row r="125" spans="11:11" x14ac:dyDescent="0.35">
      <c r="K125" s="22"/>
    </row>
    <row r="126" spans="11:11" x14ac:dyDescent="0.35">
      <c r="K126" s="22"/>
    </row>
    <row r="127" spans="11:11" x14ac:dyDescent="0.35">
      <c r="K127" s="22"/>
    </row>
    <row r="128" spans="11:11" x14ac:dyDescent="0.35">
      <c r="K128" s="22"/>
    </row>
    <row r="129" spans="11:11" x14ac:dyDescent="0.35">
      <c r="K129" s="22"/>
    </row>
    <row r="130" spans="11:11" x14ac:dyDescent="0.35">
      <c r="K130" s="22"/>
    </row>
    <row r="131" spans="11:11" x14ac:dyDescent="0.35">
      <c r="K131" s="22"/>
    </row>
    <row r="132" spans="11:11" x14ac:dyDescent="0.35">
      <c r="K132" s="22"/>
    </row>
    <row r="133" spans="11:11" x14ac:dyDescent="0.35">
      <c r="K133" s="22"/>
    </row>
    <row r="134" spans="11:11" x14ac:dyDescent="0.35">
      <c r="K134" s="22"/>
    </row>
    <row r="135" spans="11:11" x14ac:dyDescent="0.35">
      <c r="K135" s="22"/>
    </row>
    <row r="136" spans="11:11" x14ac:dyDescent="0.35">
      <c r="K136" s="22"/>
    </row>
    <row r="137" spans="11:11" x14ac:dyDescent="0.35">
      <c r="K137" s="22"/>
    </row>
    <row r="138" spans="11:11" x14ac:dyDescent="0.35">
      <c r="K138" s="22"/>
    </row>
    <row r="139" spans="11:11" x14ac:dyDescent="0.35">
      <c r="K139" s="22"/>
    </row>
    <row r="140" spans="11:11" x14ac:dyDescent="0.35">
      <c r="K140" s="22"/>
    </row>
    <row r="141" spans="11:11" x14ac:dyDescent="0.35">
      <c r="K141" s="22"/>
    </row>
    <row r="142" spans="11:11" x14ac:dyDescent="0.35">
      <c r="K142" s="22"/>
    </row>
    <row r="143" spans="11:11" x14ac:dyDescent="0.35">
      <c r="K143" s="22"/>
    </row>
    <row r="144" spans="11:11" x14ac:dyDescent="0.35">
      <c r="K144" s="22"/>
    </row>
    <row r="145" spans="11:11" x14ac:dyDescent="0.35">
      <c r="K145" s="22"/>
    </row>
    <row r="146" spans="11:11" x14ac:dyDescent="0.35">
      <c r="K146" s="22"/>
    </row>
    <row r="147" spans="11:11" x14ac:dyDescent="0.35">
      <c r="K147" s="22"/>
    </row>
    <row r="148" spans="11:11" x14ac:dyDescent="0.35">
      <c r="K148" s="22"/>
    </row>
    <row r="149" spans="11:11" x14ac:dyDescent="0.35">
      <c r="K149" s="22"/>
    </row>
    <row r="150" spans="11:11" x14ac:dyDescent="0.35">
      <c r="K150" s="22"/>
    </row>
    <row r="151" spans="11:11" x14ac:dyDescent="0.35">
      <c r="K151" s="22"/>
    </row>
    <row r="152" spans="11:11" x14ac:dyDescent="0.35">
      <c r="K152" s="22"/>
    </row>
    <row r="153" spans="11:11" x14ac:dyDescent="0.35">
      <c r="K153" s="22"/>
    </row>
    <row r="154" spans="11:11" x14ac:dyDescent="0.35">
      <c r="K154" s="22"/>
    </row>
    <row r="155" spans="11:11" x14ac:dyDescent="0.35">
      <c r="K15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>
      <selection activeCell="E4" sqref="E4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14.54296875" style="1" customWidth="1"/>
    <col min="5" max="5" width="18.6328125" style="1" customWidth="1"/>
    <col min="6" max="16384" width="8.90625" style="1"/>
  </cols>
  <sheetData>
    <row r="1" spans="1:6" x14ac:dyDescent="0.35">
      <c r="A1" s="2" t="s">
        <v>0</v>
      </c>
      <c r="B1" s="2" t="s">
        <v>27</v>
      </c>
      <c r="C1" s="2" t="s">
        <v>1</v>
      </c>
      <c r="D1" s="5" t="s">
        <v>2</v>
      </c>
      <c r="E1" s="4" t="s">
        <v>382</v>
      </c>
      <c r="F1" s="4" t="s">
        <v>371</v>
      </c>
    </row>
    <row r="2" spans="1:6" x14ac:dyDescent="0.35">
      <c r="A2" s="1" t="s">
        <v>125</v>
      </c>
      <c r="B2" s="1" t="s">
        <v>126</v>
      </c>
      <c r="C2" s="1">
        <v>1997</v>
      </c>
      <c r="D2" s="1">
        <v>2819496</v>
      </c>
      <c r="E2" s="1" t="s">
        <v>217</v>
      </c>
    </row>
    <row r="3" spans="1:6" x14ac:dyDescent="0.35">
      <c r="A3" s="1" t="s">
        <v>125</v>
      </c>
      <c r="B3" s="1" t="s">
        <v>126</v>
      </c>
      <c r="C3" s="1">
        <v>1997</v>
      </c>
      <c r="D3" s="1">
        <v>281740</v>
      </c>
      <c r="E3" s="1" t="s">
        <v>94</v>
      </c>
    </row>
    <row r="4" spans="1:6" x14ac:dyDescent="0.35">
      <c r="A4" s="1" t="s">
        <v>125</v>
      </c>
      <c r="B4" s="1" t="s">
        <v>126</v>
      </c>
      <c r="C4" s="1">
        <v>1997</v>
      </c>
      <c r="D4" s="1">
        <v>27339</v>
      </c>
      <c r="E4" s="1" t="s">
        <v>93</v>
      </c>
    </row>
    <row r="5" spans="1:6" x14ac:dyDescent="0.35">
      <c r="A5" s="1" t="s">
        <v>125</v>
      </c>
      <c r="B5" s="1" t="s">
        <v>126</v>
      </c>
      <c r="C5" s="1">
        <v>2002</v>
      </c>
      <c r="D5" s="1">
        <v>162100</v>
      </c>
      <c r="E5" s="1" t="s">
        <v>201</v>
      </c>
    </row>
    <row r="6" spans="1:6" x14ac:dyDescent="0.35">
      <c r="A6" s="1" t="s">
        <v>125</v>
      </c>
      <c r="B6" s="1" t="s">
        <v>126</v>
      </c>
      <c r="C6" s="1">
        <v>2002</v>
      </c>
      <c r="D6" s="1">
        <v>87300</v>
      </c>
      <c r="E6" s="1" t="s">
        <v>202</v>
      </c>
    </row>
    <row r="7" spans="1:6" x14ac:dyDescent="0.35">
      <c r="A7" s="1" t="s">
        <v>125</v>
      </c>
      <c r="B7" s="1" t="s">
        <v>126</v>
      </c>
      <c r="C7" s="1">
        <v>2003</v>
      </c>
      <c r="D7" s="1">
        <v>895830</v>
      </c>
      <c r="E7" s="1" t="s">
        <v>94</v>
      </c>
    </row>
    <row r="8" spans="1:6" x14ac:dyDescent="0.35">
      <c r="A8" s="1" t="s">
        <v>125</v>
      </c>
      <c r="B8" s="1" t="s">
        <v>126</v>
      </c>
      <c r="C8" s="1">
        <v>2003</v>
      </c>
      <c r="D8" s="1">
        <v>10756731</v>
      </c>
      <c r="E8" s="1" t="s">
        <v>217</v>
      </c>
    </row>
    <row r="9" spans="1:6" x14ac:dyDescent="0.35">
      <c r="A9" s="1" t="s">
        <v>125</v>
      </c>
      <c r="B9" s="1" t="s">
        <v>126</v>
      </c>
      <c r="C9" s="1">
        <v>2003</v>
      </c>
      <c r="D9" s="1">
        <v>346856</v>
      </c>
      <c r="E9" s="1" t="s">
        <v>215</v>
      </c>
    </row>
    <row r="10" spans="1:6" x14ac:dyDescent="0.35">
      <c r="A10" s="1" t="s">
        <v>125</v>
      </c>
      <c r="B10" s="1" t="s">
        <v>126</v>
      </c>
      <c r="C10" s="1">
        <v>2007</v>
      </c>
      <c r="D10" s="1">
        <v>19788145</v>
      </c>
      <c r="E10" s="1" t="s">
        <v>217</v>
      </c>
    </row>
    <row r="11" spans="1:6" x14ac:dyDescent="0.35">
      <c r="A11" s="1" t="s">
        <v>125</v>
      </c>
      <c r="B11" s="1" t="s">
        <v>126</v>
      </c>
      <c r="C11" s="1">
        <v>2007</v>
      </c>
      <c r="D11" s="1">
        <v>2946230</v>
      </c>
      <c r="E11" s="1" t="s">
        <v>201</v>
      </c>
    </row>
    <row r="12" spans="1:6" x14ac:dyDescent="0.35">
      <c r="A12" s="1" t="s">
        <v>125</v>
      </c>
      <c r="B12" s="1" t="s">
        <v>126</v>
      </c>
      <c r="C12" s="1">
        <v>2007</v>
      </c>
      <c r="D12" s="1">
        <v>2500000</v>
      </c>
      <c r="E12" s="1" t="s">
        <v>94</v>
      </c>
    </row>
    <row r="13" spans="1:6" x14ac:dyDescent="0.35">
      <c r="A13" s="1" t="s">
        <v>125</v>
      </c>
      <c r="B13" s="1" t="s">
        <v>126</v>
      </c>
      <c r="C13" s="1">
        <v>2007</v>
      </c>
      <c r="D13" s="1">
        <v>715458</v>
      </c>
      <c r="E13" s="1" t="s">
        <v>215</v>
      </c>
    </row>
    <row r="14" spans="1:6" x14ac:dyDescent="0.35">
      <c r="A14" s="1" t="s">
        <v>125</v>
      </c>
      <c r="B14" s="1" t="s">
        <v>126</v>
      </c>
      <c r="C14" s="1">
        <v>2011</v>
      </c>
      <c r="D14" s="1">
        <v>38074567</v>
      </c>
      <c r="E14" s="1" t="s">
        <v>217</v>
      </c>
    </row>
    <row r="15" spans="1:6" x14ac:dyDescent="0.35">
      <c r="A15" s="1" t="s">
        <v>125</v>
      </c>
      <c r="B15" s="1" t="s">
        <v>126</v>
      </c>
      <c r="C15" s="1">
        <v>2011</v>
      </c>
      <c r="D15" s="1">
        <v>7518123</v>
      </c>
      <c r="E15" s="1" t="s">
        <v>234</v>
      </c>
    </row>
    <row r="16" spans="1:6" x14ac:dyDescent="0.35">
      <c r="A16" s="1" t="s">
        <v>125</v>
      </c>
      <c r="B16" s="1" t="s">
        <v>126</v>
      </c>
      <c r="C16" s="1">
        <v>2011</v>
      </c>
      <c r="D16" s="1">
        <v>3361221</v>
      </c>
      <c r="E16" s="1" t="s">
        <v>94</v>
      </c>
    </row>
    <row r="17" spans="1:5" x14ac:dyDescent="0.35">
      <c r="A17" s="1" t="s">
        <v>125</v>
      </c>
      <c r="B17" s="1" t="s">
        <v>126</v>
      </c>
      <c r="C17" s="1">
        <v>2011</v>
      </c>
      <c r="D17" s="1">
        <v>775000</v>
      </c>
      <c r="E17" s="1" t="s">
        <v>215</v>
      </c>
    </row>
    <row r="18" spans="1:5" x14ac:dyDescent="0.35">
      <c r="A18" s="1" t="s">
        <v>125</v>
      </c>
      <c r="B18" s="1" t="s">
        <v>126</v>
      </c>
      <c r="C18" s="1">
        <v>2015</v>
      </c>
      <c r="D18" s="1">
        <v>27138072</v>
      </c>
      <c r="E18" s="1" t="s">
        <v>336</v>
      </c>
    </row>
    <row r="19" spans="1:5" x14ac:dyDescent="0.35">
      <c r="A19" s="1" t="s">
        <v>125</v>
      </c>
      <c r="B19" s="1" t="s">
        <v>126</v>
      </c>
      <c r="C19" s="1">
        <v>2015</v>
      </c>
      <c r="D19" s="1">
        <v>2500000</v>
      </c>
      <c r="E19" s="1" t="s">
        <v>94</v>
      </c>
    </row>
    <row r="20" spans="1:5" x14ac:dyDescent="0.35">
      <c r="A20" s="1" t="s">
        <v>125</v>
      </c>
      <c r="B20" s="1" t="s">
        <v>126</v>
      </c>
      <c r="C20" s="1">
        <v>2015</v>
      </c>
      <c r="D20" s="1">
        <v>310891</v>
      </c>
      <c r="E20" s="1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"/>
  <sheetViews>
    <sheetView workbookViewId="0">
      <selection activeCell="A2" sqref="A2:B4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26.08984375" style="1" bestFit="1" customWidth="1"/>
    <col min="5" max="9" width="8.90625" style="1"/>
    <col min="10" max="10" width="11" style="1" bestFit="1" customWidth="1"/>
    <col min="11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383</v>
      </c>
      <c r="E1" s="2" t="s">
        <v>24</v>
      </c>
      <c r="F1" s="2" t="s">
        <v>384</v>
      </c>
      <c r="G1" s="5" t="s">
        <v>2</v>
      </c>
      <c r="H1" s="4" t="s">
        <v>3</v>
      </c>
      <c r="I1" s="4" t="s">
        <v>4</v>
      </c>
      <c r="J1" s="6" t="s">
        <v>5</v>
      </c>
      <c r="K1" s="3" t="s">
        <v>6</v>
      </c>
      <c r="L1" s="4" t="s">
        <v>7</v>
      </c>
      <c r="M1" s="4" t="s">
        <v>371</v>
      </c>
    </row>
    <row r="2" spans="1:13" x14ac:dyDescent="0.35">
      <c r="A2" s="1" t="s">
        <v>125</v>
      </c>
      <c r="B2" s="1" t="s">
        <v>126</v>
      </c>
      <c r="C2" s="1">
        <v>2015</v>
      </c>
      <c r="D2" s="1" t="s">
        <v>342</v>
      </c>
      <c r="E2" s="1" t="s">
        <v>103</v>
      </c>
      <c r="F2" s="18" t="s">
        <v>345</v>
      </c>
      <c r="G2" s="1">
        <v>11999417</v>
      </c>
      <c r="H2" s="19">
        <v>2003</v>
      </c>
      <c r="I2" s="19">
        <v>2020</v>
      </c>
      <c r="J2" s="20">
        <f>AVERAGE(3.6,4.62)</f>
        <v>4.1100000000000003</v>
      </c>
      <c r="K2" s="21">
        <v>16505000</v>
      </c>
      <c r="L2" s="19"/>
    </row>
    <row r="3" spans="1:13" x14ac:dyDescent="0.35">
      <c r="A3" s="1" t="s">
        <v>125</v>
      </c>
      <c r="B3" s="1" t="s">
        <v>126</v>
      </c>
      <c r="C3" s="1">
        <v>2015</v>
      </c>
      <c r="D3" s="1" t="s">
        <v>343</v>
      </c>
      <c r="E3" s="1" t="s">
        <v>103</v>
      </c>
      <c r="F3" s="18" t="s">
        <v>345</v>
      </c>
      <c r="G3" s="1">
        <v>25000000</v>
      </c>
      <c r="H3" s="19">
        <v>2007</v>
      </c>
      <c r="I3" s="19">
        <v>2027</v>
      </c>
      <c r="J3" s="20">
        <f>AVERAGE(4.25,5)</f>
        <v>4.625</v>
      </c>
      <c r="K3" s="21">
        <v>24605000</v>
      </c>
      <c r="L3" s="19"/>
    </row>
    <row r="4" spans="1:13" x14ac:dyDescent="0.35">
      <c r="A4" s="1" t="s">
        <v>125</v>
      </c>
      <c r="B4" s="1" t="s">
        <v>126</v>
      </c>
      <c r="C4" s="1">
        <v>2015</v>
      </c>
      <c r="D4" s="1" t="s">
        <v>344</v>
      </c>
      <c r="E4" s="1" t="s">
        <v>103</v>
      </c>
      <c r="F4" s="1" t="s">
        <v>346</v>
      </c>
      <c r="G4" s="1">
        <v>6550000</v>
      </c>
      <c r="H4" s="1" t="s">
        <v>85</v>
      </c>
      <c r="I4" s="1">
        <f>2032</f>
        <v>2032</v>
      </c>
      <c r="J4" s="1">
        <f>AVERAGE(1.274,2.547,2.547,2.547)</f>
        <v>2.2287500000000002</v>
      </c>
      <c r="K4" s="1">
        <v>5318780</v>
      </c>
    </row>
    <row r="5" spans="1:13" x14ac:dyDescent="0.35">
      <c r="A5" s="1" t="s">
        <v>125</v>
      </c>
      <c r="B5" s="1" t="s">
        <v>126</v>
      </c>
      <c r="C5" s="1">
        <v>2015</v>
      </c>
      <c r="D5" s="1" t="s">
        <v>347</v>
      </c>
      <c r="E5" s="1" t="s">
        <v>103</v>
      </c>
      <c r="F5" s="1" t="s">
        <v>345</v>
      </c>
      <c r="G5" s="1">
        <v>50000000</v>
      </c>
      <c r="H5" s="1">
        <v>2011</v>
      </c>
      <c r="I5" s="1">
        <v>2036</v>
      </c>
      <c r="J5" s="1">
        <f>AVERAGE(2.35,5.25)</f>
        <v>3.8</v>
      </c>
      <c r="K5" s="1">
        <v>50000000</v>
      </c>
    </row>
    <row r="6" spans="1:13" x14ac:dyDescent="0.35">
      <c r="A6" s="1" t="s">
        <v>125</v>
      </c>
      <c r="B6" s="1" t="s">
        <v>126</v>
      </c>
      <c r="C6" s="1">
        <v>2015</v>
      </c>
      <c r="D6" s="1" t="s">
        <v>348</v>
      </c>
      <c r="E6" s="1" t="s">
        <v>103</v>
      </c>
      <c r="F6" s="1" t="s">
        <v>349</v>
      </c>
      <c r="G6" s="1">
        <v>2459000</v>
      </c>
      <c r="H6" s="1">
        <v>2012</v>
      </c>
      <c r="I6" s="1">
        <v>2017</v>
      </c>
      <c r="J6" s="1">
        <v>2.1</v>
      </c>
      <c r="K6" s="1">
        <v>1916010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"/>
  <sheetViews>
    <sheetView workbookViewId="0">
      <selection activeCell="H1" sqref="H1:J1"/>
    </sheetView>
  </sheetViews>
  <sheetFormatPr defaultColWidth="8.90625" defaultRowHeight="14.5" x14ac:dyDescent="0.35"/>
  <cols>
    <col min="1" max="8" width="8.90625" style="1"/>
    <col min="9" max="9" width="15" style="1" bestFit="1" customWidth="1"/>
    <col min="10" max="16384" width="8.90625" style="1"/>
  </cols>
  <sheetData>
    <row r="1" spans="1:10" x14ac:dyDescent="0.35">
      <c r="A1" s="28" t="s">
        <v>0</v>
      </c>
      <c r="B1" s="28" t="s">
        <v>27</v>
      </c>
      <c r="C1" s="28" t="s">
        <v>1</v>
      </c>
      <c r="D1" s="28" t="s">
        <v>385</v>
      </c>
      <c r="E1" s="28" t="s">
        <v>386</v>
      </c>
      <c r="F1" s="28" t="s">
        <v>379</v>
      </c>
      <c r="G1" s="28" t="s">
        <v>387</v>
      </c>
      <c r="H1" s="28" t="s">
        <v>388</v>
      </c>
      <c r="I1" s="28" t="s">
        <v>389</v>
      </c>
      <c r="J1" s="28" t="s">
        <v>371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O22" sqref="O22"/>
    </sheetView>
  </sheetViews>
  <sheetFormatPr defaultColWidth="8.90625" defaultRowHeight="14.5" x14ac:dyDescent="0.35"/>
  <cols>
    <col min="1" max="16384" width="8.90625" style="1"/>
  </cols>
  <sheetData>
    <row r="1" spans="1:10" x14ac:dyDescent="0.35">
      <c r="A1" s="2" t="s">
        <v>0</v>
      </c>
      <c r="B1" s="2" t="s">
        <v>27</v>
      </c>
      <c r="C1" s="2" t="s">
        <v>1</v>
      </c>
      <c r="D1" s="2" t="s">
        <v>385</v>
      </c>
      <c r="E1" s="2" t="s">
        <v>384</v>
      </c>
      <c r="F1" s="4" t="s">
        <v>390</v>
      </c>
      <c r="G1" s="4" t="s">
        <v>456</v>
      </c>
      <c r="H1" s="4" t="s">
        <v>391</v>
      </c>
      <c r="I1" s="4" t="s">
        <v>392</v>
      </c>
      <c r="J1" s="4" t="s">
        <v>393</v>
      </c>
    </row>
    <row r="2" spans="1:10" x14ac:dyDescent="0.35">
      <c r="A2" s="1" t="s">
        <v>125</v>
      </c>
      <c r="B2" s="1" t="s">
        <v>126</v>
      </c>
      <c r="C2" s="1">
        <v>2015</v>
      </c>
      <c r="D2" s="1">
        <v>2009</v>
      </c>
      <c r="E2" s="1" t="s">
        <v>102</v>
      </c>
      <c r="F2" s="1">
        <v>10109865</v>
      </c>
      <c r="H2" s="1">
        <v>1824228</v>
      </c>
      <c r="J2" s="17">
        <f>F2/H2</f>
        <v>5.5419963951874438</v>
      </c>
    </row>
    <row r="3" spans="1:10" x14ac:dyDescent="0.35">
      <c r="A3" s="1" t="s">
        <v>125</v>
      </c>
      <c r="B3" s="1" t="s">
        <v>126</v>
      </c>
      <c r="C3" s="1">
        <v>2015</v>
      </c>
      <c r="D3" s="1">
        <v>2010</v>
      </c>
      <c r="E3" s="1" t="s">
        <v>102</v>
      </c>
      <c r="F3" s="1">
        <v>8487815</v>
      </c>
      <c r="H3" s="1">
        <v>1857454</v>
      </c>
      <c r="J3" s="17">
        <f t="shared" ref="J3:J6" si="0">F3/H3</f>
        <v>4.569596339936278</v>
      </c>
    </row>
    <row r="4" spans="1:10" x14ac:dyDescent="0.35">
      <c r="A4" s="1" t="s">
        <v>125</v>
      </c>
      <c r="B4" s="1" t="s">
        <v>126</v>
      </c>
      <c r="C4" s="1">
        <v>2015</v>
      </c>
      <c r="D4" s="1">
        <v>2011</v>
      </c>
      <c r="E4" s="1" t="s">
        <v>102</v>
      </c>
      <c r="F4" s="1">
        <v>7873303</v>
      </c>
      <c r="H4" s="1">
        <v>2758327</v>
      </c>
      <c r="J4" s="17">
        <f t="shared" si="0"/>
        <v>2.8543762215284847</v>
      </c>
    </row>
    <row r="5" spans="1:10" x14ac:dyDescent="0.35">
      <c r="A5" s="1" t="s">
        <v>125</v>
      </c>
      <c r="B5" s="1" t="s">
        <v>126</v>
      </c>
      <c r="C5" s="1">
        <v>2015</v>
      </c>
      <c r="D5" s="1">
        <v>2012</v>
      </c>
      <c r="E5" s="1" t="s">
        <v>102</v>
      </c>
      <c r="F5" s="1">
        <v>18827088</v>
      </c>
      <c r="H5" s="1">
        <v>6353644</v>
      </c>
      <c r="J5" s="17">
        <f t="shared" si="0"/>
        <v>2.9631952939132251</v>
      </c>
    </row>
    <row r="6" spans="1:10" x14ac:dyDescent="0.35">
      <c r="A6" s="1" t="s">
        <v>125</v>
      </c>
      <c r="B6" s="1" t="s">
        <v>126</v>
      </c>
      <c r="C6" s="1">
        <v>2015</v>
      </c>
      <c r="D6" s="1">
        <v>2013</v>
      </c>
      <c r="E6" s="1" t="s">
        <v>102</v>
      </c>
      <c r="F6" s="1">
        <v>24170306</v>
      </c>
      <c r="H6" s="1">
        <v>6788136</v>
      </c>
      <c r="J6" s="17">
        <f t="shared" si="0"/>
        <v>3.5606690850036005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2"/>
  <sheetViews>
    <sheetView workbookViewId="0">
      <selection sqref="A1:H1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14.90625" style="1" bestFit="1" customWidth="1"/>
    <col min="5" max="5" width="26.36328125" style="1" bestFit="1" customWidth="1"/>
    <col min="6" max="16384" width="8.90625" style="1"/>
  </cols>
  <sheetData>
    <row r="1" spans="1:8" x14ac:dyDescent="0.35">
      <c r="A1" s="28" t="s">
        <v>0</v>
      </c>
      <c r="B1" s="28" t="s">
        <v>27</v>
      </c>
      <c r="C1" s="28" t="s">
        <v>1</v>
      </c>
      <c r="D1" s="28" t="s">
        <v>394</v>
      </c>
      <c r="E1" s="28" t="s">
        <v>395</v>
      </c>
      <c r="F1" s="28" t="s">
        <v>396</v>
      </c>
      <c r="G1" s="28" t="s">
        <v>397</v>
      </c>
      <c r="H1" s="28" t="s">
        <v>371</v>
      </c>
    </row>
    <row r="2" spans="1:8" x14ac:dyDescent="0.35">
      <c r="A2" s="1" t="s">
        <v>125</v>
      </c>
      <c r="B2" s="1" t="s">
        <v>126</v>
      </c>
      <c r="C2" s="1">
        <v>1997</v>
      </c>
      <c r="D2" s="1" t="s">
        <v>132</v>
      </c>
      <c r="E2" s="1" t="s">
        <v>89</v>
      </c>
      <c r="F2" s="1">
        <v>1999</v>
      </c>
    </row>
    <row r="3" spans="1:8" x14ac:dyDescent="0.35">
      <c r="A3" s="1" t="s">
        <v>125</v>
      </c>
      <c r="B3" s="1" t="s">
        <v>126</v>
      </c>
      <c r="C3" s="1">
        <v>1997</v>
      </c>
      <c r="D3" s="1" t="s">
        <v>133</v>
      </c>
      <c r="E3" s="1" t="s">
        <v>90</v>
      </c>
      <c r="F3" s="1">
        <v>1997</v>
      </c>
    </row>
    <row r="4" spans="1:8" x14ac:dyDescent="0.35">
      <c r="A4" s="1" t="s">
        <v>125</v>
      </c>
      <c r="B4" s="1" t="s">
        <v>126</v>
      </c>
      <c r="C4" s="1">
        <v>1997</v>
      </c>
      <c r="D4" s="1" t="s">
        <v>134</v>
      </c>
      <c r="E4" s="1" t="s">
        <v>92</v>
      </c>
      <c r="F4" s="1">
        <v>2001</v>
      </c>
    </row>
    <row r="5" spans="1:8" x14ac:dyDescent="0.35">
      <c r="A5" s="1" t="s">
        <v>125</v>
      </c>
      <c r="B5" s="1" t="s">
        <v>126</v>
      </c>
      <c r="C5" s="1">
        <v>1997</v>
      </c>
      <c r="D5" s="1" t="s">
        <v>135</v>
      </c>
      <c r="E5" s="1" t="s">
        <v>91</v>
      </c>
      <c r="F5" s="1">
        <v>1998</v>
      </c>
    </row>
    <row r="6" spans="1:8" x14ac:dyDescent="0.35">
      <c r="A6" s="1" t="s">
        <v>125</v>
      </c>
      <c r="B6" s="1" t="s">
        <v>126</v>
      </c>
      <c r="C6" s="1">
        <v>1997</v>
      </c>
      <c r="D6" s="1" t="s">
        <v>136</v>
      </c>
      <c r="E6" s="1" t="s">
        <v>137</v>
      </c>
      <c r="F6" s="1">
        <v>2001</v>
      </c>
    </row>
    <row r="7" spans="1:8" x14ac:dyDescent="0.35">
      <c r="A7" s="1" t="s">
        <v>125</v>
      </c>
      <c r="B7" s="1" t="s">
        <v>126</v>
      </c>
      <c r="C7" s="1">
        <v>2002</v>
      </c>
      <c r="D7" s="1" t="s">
        <v>132</v>
      </c>
      <c r="E7" s="1" t="s">
        <v>89</v>
      </c>
      <c r="F7" s="1">
        <v>2005</v>
      </c>
    </row>
    <row r="8" spans="1:8" x14ac:dyDescent="0.35">
      <c r="A8" s="1" t="s">
        <v>125</v>
      </c>
      <c r="B8" s="1" t="s">
        <v>126</v>
      </c>
      <c r="C8" s="1">
        <v>2002</v>
      </c>
      <c r="D8" s="1" t="s">
        <v>134</v>
      </c>
      <c r="E8" s="1" t="s">
        <v>90</v>
      </c>
      <c r="F8" s="1">
        <v>2007</v>
      </c>
    </row>
    <row r="9" spans="1:8" x14ac:dyDescent="0.35">
      <c r="A9" s="1" t="s">
        <v>125</v>
      </c>
      <c r="B9" s="1" t="s">
        <v>126</v>
      </c>
      <c r="C9" s="1">
        <v>2002</v>
      </c>
      <c r="D9" s="1" t="s">
        <v>156</v>
      </c>
      <c r="E9" s="1" t="s">
        <v>92</v>
      </c>
      <c r="F9" s="1">
        <v>2004</v>
      </c>
    </row>
    <row r="10" spans="1:8" x14ac:dyDescent="0.35">
      <c r="A10" s="1" t="s">
        <v>125</v>
      </c>
      <c r="B10" s="1" t="s">
        <v>126</v>
      </c>
      <c r="C10" s="1">
        <v>2002</v>
      </c>
      <c r="D10" s="1" t="s">
        <v>157</v>
      </c>
      <c r="E10" s="1" t="s">
        <v>137</v>
      </c>
      <c r="F10" s="1">
        <v>2007</v>
      </c>
    </row>
    <row r="11" spans="1:8" x14ac:dyDescent="0.35">
      <c r="A11" s="1" t="s">
        <v>125</v>
      </c>
      <c r="B11" s="1" t="s">
        <v>126</v>
      </c>
      <c r="C11" s="1">
        <v>2002</v>
      </c>
      <c r="D11" s="1" t="s">
        <v>158</v>
      </c>
      <c r="E11" s="1" t="s">
        <v>137</v>
      </c>
      <c r="F11" s="1">
        <v>2006</v>
      </c>
    </row>
    <row r="12" spans="1:8" x14ac:dyDescent="0.35">
      <c r="A12" s="1" t="s">
        <v>125</v>
      </c>
      <c r="B12" s="1" t="s">
        <v>126</v>
      </c>
      <c r="C12" s="1">
        <v>2003</v>
      </c>
      <c r="D12" s="1" t="s">
        <v>132</v>
      </c>
      <c r="E12" s="1" t="s">
        <v>89</v>
      </c>
      <c r="F12" s="1">
        <v>2005</v>
      </c>
    </row>
    <row r="13" spans="1:8" x14ac:dyDescent="0.35">
      <c r="A13" s="1" t="s">
        <v>125</v>
      </c>
      <c r="B13" s="1" t="s">
        <v>126</v>
      </c>
      <c r="C13" s="1">
        <v>2003</v>
      </c>
      <c r="D13" s="1" t="s">
        <v>134</v>
      </c>
      <c r="E13" s="1" t="s">
        <v>90</v>
      </c>
      <c r="F13" s="1">
        <v>2007</v>
      </c>
    </row>
    <row r="14" spans="1:8" x14ac:dyDescent="0.35">
      <c r="A14" s="1" t="s">
        <v>125</v>
      </c>
      <c r="B14" s="1" t="s">
        <v>126</v>
      </c>
      <c r="C14" s="1">
        <v>2003</v>
      </c>
      <c r="D14" s="1" t="s">
        <v>156</v>
      </c>
      <c r="E14" s="1" t="s">
        <v>92</v>
      </c>
      <c r="F14" s="1">
        <v>2004</v>
      </c>
    </row>
    <row r="15" spans="1:8" x14ac:dyDescent="0.35">
      <c r="A15" s="1" t="s">
        <v>125</v>
      </c>
      <c r="B15" s="1" t="s">
        <v>126</v>
      </c>
      <c r="C15" s="1">
        <v>2003</v>
      </c>
      <c r="D15" s="1" t="s">
        <v>157</v>
      </c>
      <c r="E15" s="1" t="s">
        <v>137</v>
      </c>
      <c r="F15" s="1">
        <v>2007</v>
      </c>
    </row>
    <row r="16" spans="1:8" x14ac:dyDescent="0.35">
      <c r="A16" s="1" t="s">
        <v>125</v>
      </c>
      <c r="B16" s="1" t="s">
        <v>126</v>
      </c>
      <c r="C16" s="1">
        <v>2003</v>
      </c>
      <c r="D16" s="1" t="s">
        <v>158</v>
      </c>
      <c r="E16" s="1" t="s">
        <v>137</v>
      </c>
      <c r="F16" s="1">
        <v>2006</v>
      </c>
    </row>
    <row r="17" spans="1:6" x14ac:dyDescent="0.35">
      <c r="A17" s="1" t="s">
        <v>125</v>
      </c>
      <c r="B17" s="1" t="s">
        <v>126</v>
      </c>
      <c r="C17" s="1">
        <v>2007</v>
      </c>
      <c r="D17" s="1" t="s">
        <v>158</v>
      </c>
      <c r="E17" s="1" t="s">
        <v>89</v>
      </c>
      <c r="F17" s="1">
        <v>2011</v>
      </c>
    </row>
    <row r="18" spans="1:6" x14ac:dyDescent="0.35">
      <c r="A18" s="1" t="s">
        <v>125</v>
      </c>
      <c r="B18" s="1" t="s">
        <v>126</v>
      </c>
      <c r="C18" s="1">
        <v>2007</v>
      </c>
      <c r="D18" s="1" t="s">
        <v>157</v>
      </c>
      <c r="E18" s="1" t="s">
        <v>90</v>
      </c>
      <c r="F18" s="1">
        <v>2007</v>
      </c>
    </row>
    <row r="19" spans="1:6" x14ac:dyDescent="0.35">
      <c r="A19" s="1" t="s">
        <v>125</v>
      </c>
      <c r="B19" s="1" t="s">
        <v>126</v>
      </c>
      <c r="C19" s="1">
        <v>2007</v>
      </c>
      <c r="D19" s="1" t="s">
        <v>218</v>
      </c>
      <c r="E19" s="1" t="s">
        <v>92</v>
      </c>
      <c r="F19" s="1">
        <v>2010</v>
      </c>
    </row>
    <row r="20" spans="1:6" x14ac:dyDescent="0.35">
      <c r="A20" s="1" t="s">
        <v>125</v>
      </c>
      <c r="B20" s="1" t="s">
        <v>126</v>
      </c>
      <c r="C20" s="1">
        <v>2007</v>
      </c>
      <c r="D20" s="1" t="s">
        <v>134</v>
      </c>
      <c r="E20" s="1" t="s">
        <v>137</v>
      </c>
      <c r="F20" s="1">
        <v>2008</v>
      </c>
    </row>
    <row r="21" spans="1:6" x14ac:dyDescent="0.35">
      <c r="A21" s="1" t="s">
        <v>125</v>
      </c>
      <c r="B21" s="1" t="s">
        <v>126</v>
      </c>
      <c r="C21" s="1">
        <v>2007</v>
      </c>
      <c r="D21" s="1" t="s">
        <v>219</v>
      </c>
      <c r="E21" s="1" t="s">
        <v>137</v>
      </c>
      <c r="F21" s="1">
        <v>2009</v>
      </c>
    </row>
    <row r="22" spans="1:6" x14ac:dyDescent="0.35">
      <c r="A22" s="1" t="s">
        <v>125</v>
      </c>
      <c r="B22" s="1" t="s">
        <v>126</v>
      </c>
      <c r="C22" s="1">
        <v>2011</v>
      </c>
      <c r="D22" s="1" t="s">
        <v>230</v>
      </c>
      <c r="E22" s="1" t="s">
        <v>89</v>
      </c>
      <c r="F22" s="1">
        <v>2015</v>
      </c>
    </row>
    <row r="23" spans="1:6" x14ac:dyDescent="0.35">
      <c r="A23" s="1" t="s">
        <v>125</v>
      </c>
      <c r="B23" s="1" t="s">
        <v>126</v>
      </c>
      <c r="C23" s="1">
        <v>2011</v>
      </c>
      <c r="D23" s="1" t="s">
        <v>231</v>
      </c>
      <c r="E23" s="1" t="s">
        <v>90</v>
      </c>
      <c r="F23" s="1" t="s">
        <v>85</v>
      </c>
    </row>
    <row r="24" spans="1:6" x14ac:dyDescent="0.35">
      <c r="A24" s="1" t="s">
        <v>125</v>
      </c>
      <c r="B24" s="1" t="s">
        <v>126</v>
      </c>
      <c r="C24" s="1">
        <v>2011</v>
      </c>
      <c r="D24" s="1" t="s">
        <v>219</v>
      </c>
      <c r="E24" s="1" t="s">
        <v>92</v>
      </c>
      <c r="F24" s="1">
        <v>2012</v>
      </c>
    </row>
    <row r="25" spans="1:6" x14ac:dyDescent="0.35">
      <c r="A25" s="1" t="s">
        <v>125</v>
      </c>
      <c r="B25" s="1" t="s">
        <v>126</v>
      </c>
      <c r="C25" s="1">
        <v>2011</v>
      </c>
      <c r="D25" s="1" t="s">
        <v>232</v>
      </c>
      <c r="E25" s="1" t="s">
        <v>137</v>
      </c>
      <c r="F25" s="1">
        <v>2013</v>
      </c>
    </row>
    <row r="26" spans="1:6" x14ac:dyDescent="0.35">
      <c r="A26" s="1" t="s">
        <v>125</v>
      </c>
      <c r="B26" s="1" t="s">
        <v>126</v>
      </c>
      <c r="C26" s="1">
        <v>2011</v>
      </c>
      <c r="D26" s="1" t="s">
        <v>233</v>
      </c>
      <c r="E26" s="1" t="s">
        <v>137</v>
      </c>
      <c r="F26" s="1">
        <v>2016</v>
      </c>
    </row>
    <row r="27" spans="1:6" x14ac:dyDescent="0.35">
      <c r="A27" s="1" t="s">
        <v>125</v>
      </c>
      <c r="B27" s="1" t="s">
        <v>126</v>
      </c>
      <c r="C27" s="1">
        <v>2012</v>
      </c>
      <c r="D27" s="1" t="s">
        <v>230</v>
      </c>
      <c r="E27" s="1" t="s">
        <v>89</v>
      </c>
      <c r="F27" s="1">
        <v>2015</v>
      </c>
    </row>
    <row r="28" spans="1:6" x14ac:dyDescent="0.35">
      <c r="A28" s="1" t="s">
        <v>125</v>
      </c>
      <c r="B28" s="1" t="s">
        <v>126</v>
      </c>
      <c r="C28" s="1">
        <v>2012</v>
      </c>
      <c r="D28" s="1" t="s">
        <v>233</v>
      </c>
      <c r="E28" s="1" t="s">
        <v>90</v>
      </c>
      <c r="F28" s="1">
        <v>2018</v>
      </c>
    </row>
    <row r="29" spans="1:6" x14ac:dyDescent="0.35">
      <c r="A29" s="1" t="s">
        <v>125</v>
      </c>
      <c r="B29" s="1" t="s">
        <v>126</v>
      </c>
      <c r="C29" s="1">
        <v>2012</v>
      </c>
      <c r="D29" s="1" t="s">
        <v>315</v>
      </c>
      <c r="E29" s="1" t="s">
        <v>92</v>
      </c>
      <c r="F29" s="1">
        <v>2017</v>
      </c>
    </row>
    <row r="30" spans="1:6" x14ac:dyDescent="0.35">
      <c r="A30" s="1" t="s">
        <v>125</v>
      </c>
      <c r="B30" s="1" t="s">
        <v>126</v>
      </c>
      <c r="C30" s="1">
        <v>2012</v>
      </c>
      <c r="D30" s="1" t="s">
        <v>232</v>
      </c>
      <c r="E30" s="1" t="s">
        <v>137</v>
      </c>
      <c r="F30" s="1">
        <v>2016</v>
      </c>
    </row>
    <row r="31" spans="1:6" x14ac:dyDescent="0.35">
      <c r="A31" s="1" t="s">
        <v>125</v>
      </c>
      <c r="B31" s="1" t="s">
        <v>126</v>
      </c>
      <c r="C31" s="1">
        <v>2012</v>
      </c>
      <c r="D31" s="1" t="s">
        <v>316</v>
      </c>
      <c r="E31" s="1" t="s">
        <v>137</v>
      </c>
      <c r="F31" s="1">
        <v>2014</v>
      </c>
    </row>
    <row r="32" spans="1:6" x14ac:dyDescent="0.35">
      <c r="A32" s="1" t="s">
        <v>125</v>
      </c>
      <c r="B32" s="1" t="s">
        <v>126</v>
      </c>
      <c r="C32" s="1">
        <v>2013</v>
      </c>
      <c r="D32" s="1" t="s">
        <v>322</v>
      </c>
      <c r="E32" s="1" t="s">
        <v>89</v>
      </c>
      <c r="F32" s="1">
        <v>2019</v>
      </c>
    </row>
    <row r="33" spans="1:6" x14ac:dyDescent="0.35">
      <c r="A33" s="1" t="s">
        <v>125</v>
      </c>
      <c r="B33" s="1" t="s">
        <v>126</v>
      </c>
      <c r="C33" s="1">
        <v>2013</v>
      </c>
      <c r="D33" s="1" t="s">
        <v>232</v>
      </c>
      <c r="E33" s="1" t="s">
        <v>90</v>
      </c>
      <c r="F33" s="1">
        <v>2016</v>
      </c>
    </row>
    <row r="34" spans="1:6" x14ac:dyDescent="0.35">
      <c r="A34" s="1" t="s">
        <v>125</v>
      </c>
      <c r="B34" s="1" t="s">
        <v>126</v>
      </c>
      <c r="C34" s="1">
        <v>2013</v>
      </c>
      <c r="D34" s="1" t="s">
        <v>323</v>
      </c>
      <c r="E34" s="1" t="s">
        <v>324</v>
      </c>
      <c r="F34" s="1">
        <v>2017</v>
      </c>
    </row>
    <row r="35" spans="1:6" x14ac:dyDescent="0.35">
      <c r="A35" s="1" t="s">
        <v>125</v>
      </c>
      <c r="B35" s="1" t="s">
        <v>126</v>
      </c>
      <c r="C35" s="1">
        <v>2013</v>
      </c>
      <c r="D35" s="1" t="s">
        <v>231</v>
      </c>
      <c r="E35" s="1" t="s">
        <v>137</v>
      </c>
      <c r="F35" s="1">
        <v>2015</v>
      </c>
    </row>
    <row r="36" spans="1:6" x14ac:dyDescent="0.35">
      <c r="A36" s="1" t="s">
        <v>125</v>
      </c>
      <c r="B36" s="1" t="s">
        <v>126</v>
      </c>
      <c r="C36" s="1">
        <v>2013</v>
      </c>
      <c r="D36" s="1" t="s">
        <v>231</v>
      </c>
      <c r="E36" s="1" t="s">
        <v>137</v>
      </c>
      <c r="F36" s="1">
        <v>2018</v>
      </c>
    </row>
    <row r="37" spans="1:6" x14ac:dyDescent="0.35">
      <c r="A37" s="1" t="s">
        <v>125</v>
      </c>
      <c r="B37" s="1" t="s">
        <v>126</v>
      </c>
      <c r="C37" s="1">
        <v>2014</v>
      </c>
      <c r="D37" s="1" t="s">
        <v>322</v>
      </c>
      <c r="E37" s="1" t="s">
        <v>89</v>
      </c>
      <c r="F37" s="1">
        <v>2017</v>
      </c>
    </row>
    <row r="38" spans="1:6" x14ac:dyDescent="0.35">
      <c r="A38" s="1" t="s">
        <v>125</v>
      </c>
      <c r="B38" s="1" t="s">
        <v>126</v>
      </c>
      <c r="C38" s="1">
        <v>2014</v>
      </c>
      <c r="D38" s="1" t="s">
        <v>232</v>
      </c>
      <c r="E38" s="1" t="s">
        <v>90</v>
      </c>
      <c r="F38" s="1">
        <v>2016</v>
      </c>
    </row>
    <row r="39" spans="1:6" x14ac:dyDescent="0.35">
      <c r="A39" s="1" t="s">
        <v>125</v>
      </c>
      <c r="B39" s="1" t="s">
        <v>126</v>
      </c>
      <c r="C39" s="1">
        <v>2014</v>
      </c>
      <c r="D39" s="1" t="s">
        <v>325</v>
      </c>
      <c r="E39" s="1" t="s">
        <v>324</v>
      </c>
      <c r="F39" s="1">
        <v>2020</v>
      </c>
    </row>
    <row r="40" spans="1:6" x14ac:dyDescent="0.35">
      <c r="A40" s="1" t="s">
        <v>125</v>
      </c>
      <c r="B40" s="1" t="s">
        <v>126</v>
      </c>
      <c r="C40" s="1">
        <v>2014</v>
      </c>
      <c r="D40" s="1" t="s">
        <v>323</v>
      </c>
      <c r="E40" s="1" t="s">
        <v>137</v>
      </c>
      <c r="F40" s="1">
        <v>2019</v>
      </c>
    </row>
    <row r="41" spans="1:6" x14ac:dyDescent="0.35">
      <c r="A41" s="1" t="s">
        <v>125</v>
      </c>
      <c r="B41" s="1" t="s">
        <v>126</v>
      </c>
      <c r="C41" s="1">
        <v>2014</v>
      </c>
      <c r="D41" s="1" t="s">
        <v>326</v>
      </c>
      <c r="E41" s="1" t="s">
        <v>137</v>
      </c>
      <c r="F41" s="1">
        <v>2018</v>
      </c>
    </row>
    <row r="42" spans="1:6" x14ac:dyDescent="0.35">
      <c r="A42" s="1" t="s">
        <v>125</v>
      </c>
      <c r="B42" s="1" t="s">
        <v>126</v>
      </c>
      <c r="C42" s="1">
        <v>2014</v>
      </c>
      <c r="D42" s="1" t="s">
        <v>327</v>
      </c>
      <c r="E42" s="1" t="s">
        <v>137</v>
      </c>
      <c r="F42" s="1">
        <v>2018</v>
      </c>
    </row>
    <row r="43" spans="1:6" x14ac:dyDescent="0.35">
      <c r="A43" s="1" t="s">
        <v>125</v>
      </c>
      <c r="B43" s="1" t="s">
        <v>126</v>
      </c>
      <c r="C43" s="1">
        <v>2015</v>
      </c>
      <c r="D43" s="1" t="s">
        <v>322</v>
      </c>
      <c r="E43" s="1" t="s">
        <v>89</v>
      </c>
      <c r="F43" s="1">
        <v>2017</v>
      </c>
    </row>
    <row r="44" spans="1:6" x14ac:dyDescent="0.35">
      <c r="A44" s="1" t="s">
        <v>125</v>
      </c>
      <c r="B44" s="1" t="s">
        <v>126</v>
      </c>
      <c r="C44" s="1">
        <v>2015</v>
      </c>
      <c r="D44" s="1" t="s">
        <v>232</v>
      </c>
      <c r="E44" s="1" t="s">
        <v>90</v>
      </c>
      <c r="F44" s="1">
        <v>2016</v>
      </c>
    </row>
    <row r="45" spans="1:6" x14ac:dyDescent="0.35">
      <c r="A45" s="1" t="s">
        <v>125</v>
      </c>
      <c r="B45" s="1" t="s">
        <v>126</v>
      </c>
      <c r="C45" s="1">
        <v>2015</v>
      </c>
      <c r="D45" s="1" t="s">
        <v>325</v>
      </c>
      <c r="E45" s="1" t="s">
        <v>324</v>
      </c>
      <c r="F45" s="1">
        <v>2020</v>
      </c>
    </row>
    <row r="46" spans="1:6" x14ac:dyDescent="0.35">
      <c r="A46" s="1" t="s">
        <v>125</v>
      </c>
      <c r="B46" s="1" t="s">
        <v>126</v>
      </c>
      <c r="C46" s="1">
        <v>2015</v>
      </c>
      <c r="D46" s="1" t="s">
        <v>323</v>
      </c>
      <c r="E46" s="1" t="s">
        <v>137</v>
      </c>
      <c r="F46" s="1">
        <v>2019</v>
      </c>
    </row>
    <row r="47" spans="1:6" x14ac:dyDescent="0.35">
      <c r="A47" s="1" t="s">
        <v>125</v>
      </c>
      <c r="B47" s="1" t="s">
        <v>126</v>
      </c>
      <c r="C47" s="1">
        <v>2015</v>
      </c>
      <c r="D47" s="1" t="s">
        <v>326</v>
      </c>
      <c r="E47" s="1" t="s">
        <v>137</v>
      </c>
      <c r="F47" s="1">
        <v>2018</v>
      </c>
    </row>
    <row r="48" spans="1:6" x14ac:dyDescent="0.35">
      <c r="A48" s="1" t="s">
        <v>125</v>
      </c>
      <c r="B48" s="1" t="s">
        <v>126</v>
      </c>
      <c r="C48" s="1">
        <v>2015</v>
      </c>
      <c r="D48" s="1" t="s">
        <v>327</v>
      </c>
      <c r="E48" s="1" t="s">
        <v>137</v>
      </c>
      <c r="F48" s="1">
        <v>2018</v>
      </c>
    </row>
    <row r="49" spans="1:6" x14ac:dyDescent="0.35">
      <c r="A49" s="1" t="s">
        <v>125</v>
      </c>
      <c r="B49" s="1" t="s">
        <v>126</v>
      </c>
      <c r="C49" s="1">
        <v>2016</v>
      </c>
      <c r="D49" s="1" t="s">
        <v>350</v>
      </c>
      <c r="E49" s="1" t="s">
        <v>89</v>
      </c>
      <c r="F49" s="1">
        <v>2021</v>
      </c>
    </row>
    <row r="50" spans="1:6" x14ac:dyDescent="0.35">
      <c r="A50" s="1" t="s">
        <v>125</v>
      </c>
      <c r="B50" s="1" t="s">
        <v>126</v>
      </c>
      <c r="C50" s="1">
        <v>2016</v>
      </c>
      <c r="D50" s="1" t="s">
        <v>351</v>
      </c>
      <c r="E50" s="1" t="s">
        <v>90</v>
      </c>
      <c r="F50" s="1">
        <v>2019</v>
      </c>
    </row>
    <row r="51" spans="1:6" x14ac:dyDescent="0.35">
      <c r="A51" s="1" t="s">
        <v>125</v>
      </c>
      <c r="B51" s="1" t="s">
        <v>126</v>
      </c>
      <c r="C51" s="1">
        <v>2016</v>
      </c>
      <c r="D51" s="1" t="s">
        <v>325</v>
      </c>
      <c r="E51" s="1" t="s">
        <v>324</v>
      </c>
      <c r="F51" s="1">
        <v>2020</v>
      </c>
    </row>
    <row r="52" spans="1:6" x14ac:dyDescent="0.35">
      <c r="A52" s="1" t="s">
        <v>125</v>
      </c>
      <c r="B52" s="1" t="s">
        <v>126</v>
      </c>
      <c r="C52" s="1">
        <v>2016</v>
      </c>
      <c r="D52" s="1" t="s">
        <v>352</v>
      </c>
      <c r="E52" s="1" t="s">
        <v>137</v>
      </c>
      <c r="F52" s="1">
        <v>2018</v>
      </c>
    </row>
    <row r="53" spans="1:6" x14ac:dyDescent="0.35">
      <c r="A53" s="1" t="s">
        <v>125</v>
      </c>
      <c r="B53" s="1" t="s">
        <v>126</v>
      </c>
      <c r="C53" s="1">
        <v>2016</v>
      </c>
      <c r="D53" s="1" t="s">
        <v>353</v>
      </c>
      <c r="E53" s="1" t="s">
        <v>137</v>
      </c>
      <c r="F53" s="1">
        <v>2018</v>
      </c>
    </row>
    <row r="54" spans="1:6" x14ac:dyDescent="0.35">
      <c r="A54" s="1" t="s">
        <v>125</v>
      </c>
      <c r="B54" s="1" t="s">
        <v>126</v>
      </c>
      <c r="C54" s="1">
        <v>2016</v>
      </c>
      <c r="D54" s="1" t="s">
        <v>231</v>
      </c>
      <c r="E54" s="1" t="s">
        <v>137</v>
      </c>
      <c r="F54" s="1" t="s">
        <v>85</v>
      </c>
    </row>
    <row r="55" spans="1:6" x14ac:dyDescent="0.35">
      <c r="A55" s="1" t="s">
        <v>125</v>
      </c>
      <c r="B55" s="1" t="s">
        <v>126</v>
      </c>
      <c r="C55" s="1">
        <v>2016</v>
      </c>
      <c r="D55" s="1" t="s">
        <v>231</v>
      </c>
      <c r="E55" s="1" t="s">
        <v>137</v>
      </c>
      <c r="F55" s="1" t="s">
        <v>85</v>
      </c>
    </row>
    <row r="56" spans="1:6" x14ac:dyDescent="0.35">
      <c r="A56" s="1" t="s">
        <v>125</v>
      </c>
      <c r="B56" s="1" t="s">
        <v>126</v>
      </c>
      <c r="C56" s="1">
        <v>2017</v>
      </c>
      <c r="D56" s="1" t="s">
        <v>350</v>
      </c>
      <c r="E56" s="1" t="s">
        <v>89</v>
      </c>
      <c r="F56" s="1">
        <v>2021</v>
      </c>
    </row>
    <row r="57" spans="1:6" x14ac:dyDescent="0.35">
      <c r="A57" s="1" t="s">
        <v>125</v>
      </c>
      <c r="B57" s="1" t="s">
        <v>126</v>
      </c>
      <c r="C57" s="1">
        <v>2017</v>
      </c>
      <c r="D57" s="1" t="s">
        <v>351</v>
      </c>
      <c r="E57" s="1" t="s">
        <v>90</v>
      </c>
      <c r="F57" s="1">
        <v>2019</v>
      </c>
    </row>
    <row r="58" spans="1:6" x14ac:dyDescent="0.35">
      <c r="A58" s="1" t="s">
        <v>125</v>
      </c>
      <c r="B58" s="1" t="s">
        <v>126</v>
      </c>
      <c r="C58" s="1">
        <v>2017</v>
      </c>
      <c r="D58" s="1" t="s">
        <v>357</v>
      </c>
      <c r="E58" s="1" t="s">
        <v>324</v>
      </c>
      <c r="F58" s="1">
        <v>2022</v>
      </c>
    </row>
    <row r="59" spans="1:6" x14ac:dyDescent="0.35">
      <c r="A59" s="1" t="s">
        <v>125</v>
      </c>
      <c r="B59" s="1" t="s">
        <v>126</v>
      </c>
      <c r="C59" s="1">
        <v>2017</v>
      </c>
      <c r="D59" s="1" t="s">
        <v>353</v>
      </c>
      <c r="E59" s="1" t="s">
        <v>324</v>
      </c>
      <c r="F59" s="1">
        <v>2018</v>
      </c>
    </row>
    <row r="60" spans="1:6" x14ac:dyDescent="0.35">
      <c r="A60" s="1" t="s">
        <v>125</v>
      </c>
      <c r="B60" s="1" t="s">
        <v>126</v>
      </c>
      <c r="C60" s="1">
        <v>2017</v>
      </c>
      <c r="D60" s="1" t="s">
        <v>231</v>
      </c>
      <c r="E60" s="1" t="s">
        <v>137</v>
      </c>
      <c r="F60" s="1" t="s">
        <v>85</v>
      </c>
    </row>
    <row r="61" spans="1:6" x14ac:dyDescent="0.35">
      <c r="A61" s="1" t="s">
        <v>125</v>
      </c>
      <c r="B61" s="1" t="s">
        <v>126</v>
      </c>
      <c r="C61" s="1">
        <v>2017</v>
      </c>
      <c r="D61" s="1" t="s">
        <v>231</v>
      </c>
      <c r="E61" s="1" t="s">
        <v>137</v>
      </c>
      <c r="F61" s="1" t="s">
        <v>85</v>
      </c>
    </row>
    <row r="62" spans="1:6" x14ac:dyDescent="0.35">
      <c r="A62" s="1" t="s">
        <v>125</v>
      </c>
      <c r="B62" s="1" t="s">
        <v>126</v>
      </c>
      <c r="C62" s="1">
        <v>2017</v>
      </c>
      <c r="D62" s="1" t="s">
        <v>231</v>
      </c>
      <c r="E62" s="1" t="s">
        <v>137</v>
      </c>
      <c r="F62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"/>
  <sheetViews>
    <sheetView topLeftCell="K1" workbookViewId="0">
      <selection activeCell="R26" sqref="R26"/>
    </sheetView>
  </sheetViews>
  <sheetFormatPr defaultColWidth="8.90625" defaultRowHeight="14.5" x14ac:dyDescent="0.35"/>
  <cols>
    <col min="1" max="16384" width="8.90625" style="1"/>
  </cols>
  <sheetData>
    <row r="1" spans="1:20" x14ac:dyDescent="0.35">
      <c r="A1" s="2" t="s">
        <v>0</v>
      </c>
      <c r="B1" s="2" t="s">
        <v>27</v>
      </c>
      <c r="C1" s="2" t="s">
        <v>1</v>
      </c>
      <c r="D1" s="2" t="s">
        <v>3</v>
      </c>
      <c r="E1" s="2" t="s">
        <v>24</v>
      </c>
      <c r="F1" s="2" t="s">
        <v>9</v>
      </c>
      <c r="G1" s="4" t="s">
        <v>398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96</v>
      </c>
      <c r="T1" s="2" t="s">
        <v>371</v>
      </c>
    </row>
    <row r="2" spans="1:20" x14ac:dyDescent="0.35">
      <c r="A2" s="1" t="s">
        <v>125</v>
      </c>
      <c r="B2" s="1" t="s">
        <v>126</v>
      </c>
      <c r="C2" s="1">
        <v>1997</v>
      </c>
      <c r="D2" s="1">
        <v>1994</v>
      </c>
      <c r="E2" s="1" t="s">
        <v>103</v>
      </c>
      <c r="F2" s="1" t="s">
        <v>95</v>
      </c>
      <c r="G2" s="1" t="s">
        <v>130</v>
      </c>
      <c r="H2" s="1" t="s">
        <v>131</v>
      </c>
      <c r="I2" s="1">
        <v>99</v>
      </c>
      <c r="M2" s="1">
        <v>7</v>
      </c>
      <c r="N2" s="1">
        <v>1</v>
      </c>
      <c r="O2" s="1" t="s">
        <v>138</v>
      </c>
      <c r="P2" s="1">
        <v>123000</v>
      </c>
      <c r="Q2" s="1">
        <v>28539</v>
      </c>
      <c r="R2" s="1">
        <v>210</v>
      </c>
    </row>
    <row r="3" spans="1:20" x14ac:dyDescent="0.35">
      <c r="A3" s="1" t="s">
        <v>125</v>
      </c>
      <c r="B3" s="1" t="s">
        <v>126</v>
      </c>
      <c r="C3" s="1">
        <v>2002</v>
      </c>
      <c r="D3" s="1">
        <v>1994</v>
      </c>
      <c r="E3" s="1" t="s">
        <v>103</v>
      </c>
      <c r="F3" s="1" t="s">
        <v>95</v>
      </c>
      <c r="G3" s="1" t="s">
        <v>130</v>
      </c>
      <c r="H3" s="1" t="s">
        <v>131</v>
      </c>
      <c r="I3" s="1">
        <v>99</v>
      </c>
      <c r="M3" s="1">
        <v>7</v>
      </c>
      <c r="N3" s="1">
        <v>1</v>
      </c>
      <c r="O3" s="1" t="s">
        <v>138</v>
      </c>
      <c r="P3" s="1">
        <v>123000</v>
      </c>
      <c r="Q3" s="1">
        <v>28397</v>
      </c>
      <c r="R3" s="1">
        <v>210</v>
      </c>
    </row>
    <row r="4" spans="1:20" x14ac:dyDescent="0.35">
      <c r="A4" s="1" t="s">
        <v>125</v>
      </c>
      <c r="B4" s="1" t="s">
        <v>126</v>
      </c>
      <c r="C4" s="1">
        <v>2003</v>
      </c>
      <c r="D4" s="1">
        <v>1994</v>
      </c>
      <c r="E4" s="1" t="s">
        <v>103</v>
      </c>
      <c r="F4" s="1" t="s">
        <v>95</v>
      </c>
      <c r="G4" s="1" t="s">
        <v>130</v>
      </c>
      <c r="H4" s="1" t="s">
        <v>131</v>
      </c>
      <c r="I4" s="1">
        <v>99</v>
      </c>
      <c r="M4" s="1">
        <v>7</v>
      </c>
      <c r="N4" s="1">
        <v>1</v>
      </c>
      <c r="O4" s="1" t="s">
        <v>138</v>
      </c>
      <c r="P4" s="1">
        <v>123000</v>
      </c>
      <c r="Q4" s="1">
        <v>28390</v>
      </c>
      <c r="R4" s="1">
        <v>210</v>
      </c>
    </row>
    <row r="5" spans="1:20" x14ac:dyDescent="0.35">
      <c r="A5" s="1" t="s">
        <v>125</v>
      </c>
      <c r="B5" s="1" t="s">
        <v>126</v>
      </c>
      <c r="C5" s="1">
        <v>2007</v>
      </c>
      <c r="D5" s="1">
        <v>1994</v>
      </c>
      <c r="E5" s="1" t="s">
        <v>103</v>
      </c>
      <c r="F5" s="1" t="s">
        <v>95</v>
      </c>
      <c r="G5" s="1" t="s">
        <v>130</v>
      </c>
      <c r="H5" s="1" t="s">
        <v>257</v>
      </c>
      <c r="I5" s="1">
        <v>99</v>
      </c>
      <c r="M5" s="1">
        <v>7</v>
      </c>
      <c r="N5" s="1">
        <v>1</v>
      </c>
      <c r="O5" s="1" t="s">
        <v>138</v>
      </c>
      <c r="P5" s="1">
        <v>125000</v>
      </c>
      <c r="Q5" s="1">
        <v>30189</v>
      </c>
      <c r="R5" s="1">
        <v>210</v>
      </c>
    </row>
    <row r="6" spans="1:20" x14ac:dyDescent="0.35">
      <c r="A6" s="1" t="s">
        <v>125</v>
      </c>
      <c r="B6" s="1" t="s">
        <v>126</v>
      </c>
      <c r="C6" s="1">
        <v>2011</v>
      </c>
      <c r="D6" s="1">
        <v>1994</v>
      </c>
      <c r="E6" s="1" t="s">
        <v>103</v>
      </c>
      <c r="F6" s="1" t="s">
        <v>95</v>
      </c>
      <c r="G6" s="1" t="s">
        <v>130</v>
      </c>
      <c r="H6" s="1" t="s">
        <v>257</v>
      </c>
      <c r="I6" s="1">
        <v>99</v>
      </c>
      <c r="J6" s="1">
        <f>5920000+1700000</f>
        <v>7620000</v>
      </c>
      <c r="K6" s="1">
        <v>88</v>
      </c>
      <c r="M6" s="1">
        <v>7</v>
      </c>
      <c r="N6" s="1">
        <v>1</v>
      </c>
      <c r="O6" s="1" t="s">
        <v>138</v>
      </c>
      <c r="P6" s="1">
        <v>150000</v>
      </c>
      <c r="Q6" s="1">
        <v>30250</v>
      </c>
      <c r="R6" s="1">
        <v>210</v>
      </c>
      <c r="T6" s="1" t="s">
        <v>258</v>
      </c>
    </row>
    <row r="7" spans="1:20" x14ac:dyDescent="0.35">
      <c r="A7" s="1" t="s">
        <v>125</v>
      </c>
      <c r="B7" s="1" t="s">
        <v>126</v>
      </c>
      <c r="C7" s="1">
        <v>2015</v>
      </c>
      <c r="D7" s="1">
        <v>1994</v>
      </c>
      <c r="E7" s="1" t="s">
        <v>103</v>
      </c>
      <c r="F7" s="1" t="s">
        <v>95</v>
      </c>
      <c r="G7" s="1" t="s">
        <v>130</v>
      </c>
      <c r="H7" s="1" t="s">
        <v>257</v>
      </c>
      <c r="I7" s="1">
        <v>99</v>
      </c>
      <c r="J7" s="1">
        <v>4955453</v>
      </c>
      <c r="K7" s="1">
        <v>88</v>
      </c>
      <c r="M7" s="1">
        <v>7</v>
      </c>
      <c r="N7" s="1">
        <v>1</v>
      </c>
      <c r="O7" s="1" t="s">
        <v>138</v>
      </c>
      <c r="P7" s="1">
        <v>150000</v>
      </c>
      <c r="Q7" s="1">
        <v>30250</v>
      </c>
      <c r="R7" s="1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  <vt:lpstr>financialIndicators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Walker Grimshaw</cp:lastModifiedBy>
  <dcterms:created xsi:type="dcterms:W3CDTF">2019-08-01T16:52:11Z</dcterms:created>
  <dcterms:modified xsi:type="dcterms:W3CDTF">2020-02-17T03:40:20Z</dcterms:modified>
</cp:coreProperties>
</file>